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3"/>
  </bookViews>
  <sheets>
    <sheet name="Лист3" sheetId="3" r:id="rId1"/>
    <sheet name="Лист1" sheetId="4" r:id="rId2"/>
    <sheet name="Лист2" sheetId="5" r:id="rId3"/>
    <sheet name="Лист4" sheetId="7" r:id="rId4"/>
  </sheets>
  <calcPr calcId="145621" iterateDelta="1E-4"/>
</workbook>
</file>

<file path=xl/calcChain.xml><?xml version="1.0" encoding="utf-8"?>
<calcChain xmlns="http://schemas.openxmlformats.org/spreadsheetml/2006/main">
  <c r="I57" i="7" l="1"/>
  <c r="F56" i="7"/>
  <c r="E56" i="7"/>
  <c r="D56" i="7"/>
  <c r="G55" i="7"/>
  <c r="G54" i="7"/>
  <c r="G53" i="7"/>
  <c r="G52" i="7"/>
  <c r="G51" i="7"/>
  <c r="G50" i="7"/>
  <c r="G56" i="7" s="1"/>
  <c r="G49" i="7"/>
  <c r="I47" i="7"/>
  <c r="F46" i="7"/>
  <c r="F57" i="7" s="1"/>
  <c r="E46" i="7"/>
  <c r="E57" i="7" s="1"/>
  <c r="D46" i="7"/>
  <c r="D57" i="7" s="1"/>
  <c r="G45" i="7"/>
  <c r="G44" i="7"/>
  <c r="G43" i="7"/>
  <c r="G42" i="7"/>
  <c r="G40" i="7"/>
  <c r="G46" i="7" s="1"/>
  <c r="G57" i="7" s="1"/>
  <c r="I31" i="7" l="1"/>
  <c r="F30" i="7"/>
  <c r="E30" i="7"/>
  <c r="D30" i="7"/>
  <c r="G29" i="7"/>
  <c r="G28" i="7"/>
  <c r="G27" i="7"/>
  <c r="G26" i="7"/>
  <c r="G25" i="7"/>
  <c r="G24" i="7"/>
  <c r="G30" i="7" s="1"/>
  <c r="S19" i="7" l="1"/>
  <c r="P18" i="7"/>
  <c r="O18" i="7"/>
  <c r="N18" i="7"/>
  <c r="Q16" i="7"/>
  <c r="Q15" i="7"/>
  <c r="Q14" i="7"/>
  <c r="Q13" i="7"/>
  <c r="Q12" i="7"/>
  <c r="Q18" i="7" s="1"/>
  <c r="Q11" i="7"/>
  <c r="Q10" i="7"/>
  <c r="I18" i="7"/>
  <c r="F17" i="7"/>
  <c r="E17" i="7"/>
  <c r="D17" i="7"/>
  <c r="G16" i="7"/>
  <c r="G15" i="7"/>
  <c r="G14" i="7"/>
  <c r="G13" i="7"/>
  <c r="G12" i="7"/>
  <c r="G11" i="7"/>
  <c r="G10" i="7"/>
  <c r="G17" i="7" s="1"/>
  <c r="F160" i="5" l="1"/>
  <c r="E160" i="5"/>
  <c r="D160" i="5"/>
  <c r="G159" i="5"/>
  <c r="G158" i="5"/>
  <c r="G157" i="5"/>
  <c r="G155" i="5"/>
  <c r="G154" i="5"/>
  <c r="G160" i="5" s="1"/>
  <c r="I149" i="5"/>
  <c r="F148" i="5"/>
  <c r="E148" i="5"/>
  <c r="D148" i="5"/>
  <c r="G147" i="5"/>
  <c r="G146" i="5"/>
  <c r="G145" i="5"/>
  <c r="G144" i="5"/>
  <c r="G143" i="5"/>
  <c r="G142" i="5"/>
  <c r="I137" i="5"/>
  <c r="F136" i="5"/>
  <c r="E136" i="5"/>
  <c r="D136" i="5"/>
  <c r="G135" i="5"/>
  <c r="G134" i="5"/>
  <c r="G133" i="5"/>
  <c r="G132" i="5"/>
  <c r="G131" i="5"/>
  <c r="G130" i="5"/>
  <c r="G136" i="5" s="1"/>
  <c r="I125" i="5"/>
  <c r="F124" i="5"/>
  <c r="E124" i="5"/>
  <c r="D124" i="5"/>
  <c r="G123" i="5"/>
  <c r="G122" i="5"/>
  <c r="G121" i="5"/>
  <c r="G120" i="5"/>
  <c r="G119" i="5"/>
  <c r="G118" i="5"/>
  <c r="I108" i="5"/>
  <c r="F107" i="5"/>
  <c r="E107" i="5"/>
  <c r="D107" i="5"/>
  <c r="G106" i="5"/>
  <c r="G105" i="5"/>
  <c r="G104" i="5"/>
  <c r="G103" i="5"/>
  <c r="G102" i="5"/>
  <c r="G101" i="5"/>
  <c r="I96" i="5"/>
  <c r="F95" i="5"/>
  <c r="E95" i="5"/>
  <c r="D95" i="5"/>
  <c r="G94" i="5"/>
  <c r="G93" i="5"/>
  <c r="G92" i="5"/>
  <c r="G91" i="5"/>
  <c r="G90" i="5"/>
  <c r="G89" i="5"/>
  <c r="I82" i="5"/>
  <c r="F81" i="5"/>
  <c r="E81" i="5"/>
  <c r="D81" i="5"/>
  <c r="G80" i="5"/>
  <c r="G79" i="5"/>
  <c r="G78" i="5"/>
  <c r="G77" i="5"/>
  <c r="G76" i="5"/>
  <c r="G75" i="5"/>
  <c r="G81" i="5" s="1"/>
  <c r="I70" i="5"/>
  <c r="F69" i="5"/>
  <c r="E69" i="5"/>
  <c r="D69" i="5"/>
  <c r="G68" i="5"/>
  <c r="G67" i="5"/>
  <c r="G66" i="5"/>
  <c r="G65" i="5"/>
  <c r="G64" i="5"/>
  <c r="I55" i="5"/>
  <c r="F54" i="5"/>
  <c r="E54" i="5"/>
  <c r="D54" i="5"/>
  <c r="G53" i="5"/>
  <c r="G52" i="5"/>
  <c r="G51" i="5"/>
  <c r="G50" i="5"/>
  <c r="G48" i="5"/>
  <c r="I42" i="5"/>
  <c r="F41" i="5"/>
  <c r="E41" i="5"/>
  <c r="D41" i="5"/>
  <c r="G40" i="5"/>
  <c r="G39" i="5"/>
  <c r="G38" i="5"/>
  <c r="G37" i="5"/>
  <c r="G36" i="5"/>
  <c r="I31" i="5"/>
  <c r="F30" i="5"/>
  <c r="E30" i="5"/>
  <c r="D30" i="5"/>
  <c r="G29" i="5"/>
  <c r="G28" i="5"/>
  <c r="G27" i="5"/>
  <c r="G26" i="5"/>
  <c r="G25" i="5"/>
  <c r="G24" i="5"/>
  <c r="G23" i="5"/>
  <c r="I18" i="5"/>
  <c r="F17" i="5"/>
  <c r="F173" i="5" s="1"/>
  <c r="I171" i="5" s="1"/>
  <c r="E17" i="5"/>
  <c r="D17" i="5"/>
  <c r="G16" i="5"/>
  <c r="G15" i="5"/>
  <c r="G14" i="5"/>
  <c r="G13" i="5"/>
  <c r="G12" i="5"/>
  <c r="G41" i="5" l="1"/>
  <c r="G107" i="5"/>
  <c r="D173" i="5"/>
  <c r="I169" i="5" s="1"/>
  <c r="G54" i="5"/>
  <c r="G95" i="5"/>
  <c r="G124" i="5"/>
  <c r="G148" i="5"/>
  <c r="G17" i="5"/>
  <c r="G30" i="5"/>
  <c r="G173" i="5" s="1"/>
  <c r="I173" i="5" s="1"/>
  <c r="G69" i="5"/>
  <c r="E173" i="5"/>
  <c r="I170" i="5" s="1"/>
  <c r="S145" i="5" l="1"/>
  <c r="P144" i="5"/>
  <c r="O144" i="5"/>
  <c r="N144" i="5"/>
  <c r="Q143" i="5"/>
  <c r="Q142" i="5"/>
  <c r="Q141" i="5"/>
  <c r="Q140" i="5"/>
  <c r="Q139" i="5"/>
  <c r="Q138" i="5"/>
  <c r="S133" i="5"/>
  <c r="P132" i="5"/>
  <c r="O132" i="5"/>
  <c r="N132" i="5"/>
  <c r="Q131" i="5"/>
  <c r="Q130" i="5"/>
  <c r="Q129" i="5"/>
  <c r="Q128" i="5"/>
  <c r="Q127" i="5"/>
  <c r="Q126" i="5"/>
  <c r="Q125" i="5"/>
  <c r="S115" i="5"/>
  <c r="P114" i="5"/>
  <c r="O114" i="5"/>
  <c r="N114" i="5"/>
  <c r="Q113" i="5"/>
  <c r="Q112" i="5"/>
  <c r="Q111" i="5"/>
  <c r="Q110" i="5"/>
  <c r="Q109" i="5"/>
  <c r="Q108" i="5"/>
  <c r="Q107" i="5"/>
  <c r="S102" i="5"/>
  <c r="P101" i="5"/>
  <c r="O101" i="5"/>
  <c r="N101" i="5"/>
  <c r="Q100" i="5"/>
  <c r="Q99" i="5"/>
  <c r="Q98" i="5"/>
  <c r="Q97" i="5"/>
  <c r="Q96" i="5"/>
  <c r="Q95" i="5"/>
  <c r="Q94" i="5"/>
  <c r="Q101" i="5" s="1"/>
  <c r="S89" i="5"/>
  <c r="P88" i="5"/>
  <c r="O88" i="5"/>
  <c r="N88" i="5"/>
  <c r="Q87" i="5"/>
  <c r="Q86" i="5"/>
  <c r="Q85" i="5"/>
  <c r="Q84" i="5"/>
  <c r="Q82" i="5"/>
  <c r="Q81" i="5"/>
  <c r="S74" i="5"/>
  <c r="P73" i="5"/>
  <c r="O73" i="5"/>
  <c r="N73" i="5"/>
  <c r="Q72" i="5"/>
  <c r="Q71" i="5"/>
  <c r="Q70" i="5"/>
  <c r="Q69" i="5"/>
  <c r="Q68" i="5"/>
  <c r="Q67" i="5"/>
  <c r="Q73" i="5" s="1"/>
  <c r="S58" i="5"/>
  <c r="P57" i="5"/>
  <c r="O57" i="5"/>
  <c r="N57" i="5"/>
  <c r="Q56" i="5"/>
  <c r="Q55" i="5"/>
  <c r="Q54" i="5"/>
  <c r="Q53" i="5"/>
  <c r="Q51" i="5"/>
  <c r="Q50" i="5"/>
  <c r="S45" i="5"/>
  <c r="P44" i="5"/>
  <c r="O44" i="5"/>
  <c r="N44" i="5"/>
  <c r="Q43" i="5"/>
  <c r="Q42" i="5"/>
  <c r="Q41" i="5"/>
  <c r="Q40" i="5"/>
  <c r="Q39" i="5"/>
  <c r="Q38" i="5"/>
  <c r="Q44" i="5" s="1"/>
  <c r="Q37" i="5"/>
  <c r="S32" i="5"/>
  <c r="P31" i="5"/>
  <c r="O31" i="5"/>
  <c r="N31" i="5"/>
  <c r="Q30" i="5"/>
  <c r="Q29" i="5"/>
  <c r="Q28" i="5"/>
  <c r="Q27" i="5"/>
  <c r="Q26" i="5"/>
  <c r="Q25" i="5"/>
  <c r="Q24" i="5"/>
  <c r="S19" i="5"/>
  <c r="P18" i="5"/>
  <c r="O18" i="5"/>
  <c r="N18" i="5"/>
  <c r="N156" i="5" s="1"/>
  <c r="S152" i="5" s="1"/>
  <c r="Q17" i="5"/>
  <c r="Q16" i="5"/>
  <c r="Q15" i="5"/>
  <c r="Q14" i="5"/>
  <c r="Q13" i="5"/>
  <c r="Q12" i="5"/>
  <c r="Q31" i="5" l="1"/>
  <c r="Q144" i="5"/>
  <c r="P156" i="5"/>
  <c r="S154" i="5" s="1"/>
  <c r="Q88" i="5"/>
  <c r="Q132" i="5"/>
  <c r="O156" i="5"/>
  <c r="S153" i="5" s="1"/>
  <c r="Q18" i="5"/>
  <c r="Q156" i="5" s="1"/>
  <c r="S156" i="5" s="1"/>
  <c r="Q57" i="5"/>
  <c r="Q114" i="5"/>
  <c r="T147" i="4" l="1"/>
  <c r="Q146" i="4"/>
  <c r="P146" i="4"/>
  <c r="O146" i="4"/>
  <c r="R145" i="4"/>
  <c r="R144" i="4"/>
  <c r="R143" i="4"/>
  <c r="R142" i="4"/>
  <c r="R141" i="4"/>
  <c r="R140" i="4"/>
  <c r="R146" i="4" s="1"/>
  <c r="R139" i="4"/>
  <c r="T134" i="4"/>
  <c r="Q133" i="4"/>
  <c r="P133" i="4"/>
  <c r="O133" i="4"/>
  <c r="R132" i="4"/>
  <c r="R131" i="4"/>
  <c r="R130" i="4"/>
  <c r="R129" i="4"/>
  <c r="R128" i="4"/>
  <c r="R127" i="4"/>
  <c r="R133" i="4" s="1"/>
  <c r="R126" i="4"/>
  <c r="T117" i="4"/>
  <c r="Q116" i="4"/>
  <c r="P116" i="4"/>
  <c r="O116" i="4"/>
  <c r="R114" i="4"/>
  <c r="R113" i="4"/>
  <c r="R112" i="4"/>
  <c r="R111" i="4"/>
  <c r="R110" i="4"/>
  <c r="R109" i="4"/>
  <c r="R116" i="4" s="1"/>
  <c r="R108" i="4"/>
  <c r="T103" i="4"/>
  <c r="Q102" i="4"/>
  <c r="P102" i="4"/>
  <c r="O102" i="4"/>
  <c r="R101" i="4"/>
  <c r="R100" i="4"/>
  <c r="R99" i="4"/>
  <c r="R98" i="4"/>
  <c r="R97" i="4"/>
  <c r="R96" i="4"/>
  <c r="R102" i="4" s="1"/>
  <c r="R95" i="4"/>
  <c r="T90" i="4"/>
  <c r="Q89" i="4"/>
  <c r="P89" i="4"/>
  <c r="O89" i="4"/>
  <c r="R88" i="4"/>
  <c r="R87" i="4"/>
  <c r="R86" i="4"/>
  <c r="R85" i="4"/>
  <c r="R84" i="4"/>
  <c r="R83" i="4"/>
  <c r="R89" i="4" s="1"/>
  <c r="R82" i="4"/>
  <c r="T75" i="4"/>
  <c r="Q74" i="4"/>
  <c r="Q157" i="4" s="1"/>
  <c r="T155" i="4" s="1"/>
  <c r="P74" i="4"/>
  <c r="O74" i="4"/>
  <c r="R73" i="4"/>
  <c r="R72" i="4"/>
  <c r="R71" i="4"/>
  <c r="R70" i="4"/>
  <c r="R69" i="4"/>
  <c r="R68" i="4"/>
  <c r="R74" i="4" s="1"/>
  <c r="T58" i="4"/>
  <c r="Q57" i="4"/>
  <c r="P57" i="4"/>
  <c r="O57" i="4"/>
  <c r="R56" i="4"/>
  <c r="R55" i="4"/>
  <c r="R54" i="4"/>
  <c r="R53" i="4"/>
  <c r="R51" i="4"/>
  <c r="R50" i="4"/>
  <c r="R57" i="4" s="1"/>
  <c r="T45" i="4"/>
  <c r="Q44" i="4"/>
  <c r="P44" i="4"/>
  <c r="O44" i="4"/>
  <c r="R42" i="4"/>
  <c r="R41" i="4"/>
  <c r="R40" i="4"/>
  <c r="R39" i="4"/>
  <c r="R38" i="4"/>
  <c r="R37" i="4"/>
  <c r="R44" i="4" s="1"/>
  <c r="T32" i="4"/>
  <c r="Q31" i="4"/>
  <c r="P31" i="4"/>
  <c r="O31" i="4"/>
  <c r="R30" i="4"/>
  <c r="R29" i="4"/>
  <c r="R28" i="4"/>
  <c r="R27" i="4"/>
  <c r="R26" i="4"/>
  <c r="R31" i="4" s="1"/>
  <c r="R25" i="4"/>
  <c r="R24" i="4"/>
  <c r="T19" i="4"/>
  <c r="Q18" i="4"/>
  <c r="P18" i="4"/>
  <c r="P157" i="4" s="1"/>
  <c r="T154" i="4" s="1"/>
  <c r="O18" i="4"/>
  <c r="O157" i="4" s="1"/>
  <c r="T153" i="4" s="1"/>
  <c r="R17" i="4"/>
  <c r="R16" i="4"/>
  <c r="R15" i="4"/>
  <c r="R14" i="4"/>
  <c r="R13" i="4"/>
  <c r="R18" i="4" s="1"/>
  <c r="R157" i="4" s="1"/>
  <c r="T157" i="4" s="1"/>
  <c r="R12" i="4"/>
  <c r="J139" i="4"/>
  <c r="G138" i="4"/>
  <c r="F138" i="4"/>
  <c r="E138" i="4"/>
  <c r="H137" i="4"/>
  <c r="H136" i="4"/>
  <c r="H135" i="4"/>
  <c r="H134" i="4"/>
  <c r="H133" i="4"/>
  <c r="H132" i="4"/>
  <c r="H138" i="4" s="1"/>
  <c r="J127" i="4"/>
  <c r="G126" i="4"/>
  <c r="F126" i="4"/>
  <c r="E126" i="4"/>
  <c r="H125" i="4"/>
  <c r="H124" i="4"/>
  <c r="H123" i="4"/>
  <c r="H122" i="4"/>
  <c r="H121" i="4"/>
  <c r="H120" i="4"/>
  <c r="H126" i="4" s="1"/>
  <c r="J109" i="4"/>
  <c r="G108" i="4"/>
  <c r="F108" i="4"/>
  <c r="E108" i="4"/>
  <c r="H107" i="4"/>
  <c r="H106" i="4"/>
  <c r="H105" i="4"/>
  <c r="H104" i="4"/>
  <c r="H103" i="4"/>
  <c r="H102" i="4"/>
  <c r="H101" i="4"/>
  <c r="H108" i="4" s="1"/>
  <c r="J96" i="4"/>
  <c r="G95" i="4"/>
  <c r="F95" i="4"/>
  <c r="E95" i="4"/>
  <c r="H94" i="4"/>
  <c r="H93" i="4"/>
  <c r="H92" i="4"/>
  <c r="H91" i="4"/>
  <c r="H90" i="4"/>
  <c r="H95" i="4" s="1"/>
  <c r="H89" i="4"/>
  <c r="J84" i="4"/>
  <c r="G83" i="4"/>
  <c r="F83" i="4"/>
  <c r="E83" i="4"/>
  <c r="H81" i="4"/>
  <c r="H80" i="4"/>
  <c r="H79" i="4"/>
  <c r="H78" i="4"/>
  <c r="H77" i="4"/>
  <c r="H83" i="4" s="1"/>
  <c r="J70" i="4"/>
  <c r="G69" i="4"/>
  <c r="F69" i="4"/>
  <c r="E69" i="4"/>
  <c r="H68" i="4"/>
  <c r="H67" i="4"/>
  <c r="H66" i="4"/>
  <c r="H65" i="4"/>
  <c r="H64" i="4"/>
  <c r="H63" i="4"/>
  <c r="H69" i="4" s="1"/>
  <c r="J52" i="4"/>
  <c r="G51" i="4"/>
  <c r="F51" i="4"/>
  <c r="E51" i="4"/>
  <c r="H50" i="4"/>
  <c r="H49" i="4"/>
  <c r="H48" i="4"/>
  <c r="H47" i="4"/>
  <c r="H45" i="4"/>
  <c r="H51" i="4" s="1"/>
  <c r="J40" i="4"/>
  <c r="G39" i="4"/>
  <c r="F39" i="4"/>
  <c r="E39" i="4"/>
  <c r="H38" i="4"/>
  <c r="H37" i="4"/>
  <c r="H36" i="4"/>
  <c r="H35" i="4"/>
  <c r="H34" i="4"/>
  <c r="H39" i="4" s="1"/>
  <c r="J29" i="4"/>
  <c r="G28" i="4"/>
  <c r="F28" i="4"/>
  <c r="E28" i="4"/>
  <c r="H27" i="4"/>
  <c r="H26" i="4"/>
  <c r="H25" i="4"/>
  <c r="H24" i="4"/>
  <c r="H23" i="4"/>
  <c r="H28" i="4" s="1"/>
  <c r="J18" i="4"/>
  <c r="G17" i="4"/>
  <c r="G149" i="4" s="1"/>
  <c r="J147" i="4" s="1"/>
  <c r="F17" i="4"/>
  <c r="F149" i="4" s="1"/>
  <c r="J146" i="4" s="1"/>
  <c r="E17" i="4"/>
  <c r="E149" i="4" s="1"/>
  <c r="J145" i="4" s="1"/>
  <c r="H16" i="4"/>
  <c r="H15" i="4"/>
  <c r="H14" i="4"/>
  <c r="H13" i="4"/>
  <c r="H12" i="4"/>
  <c r="H17" i="4" s="1"/>
  <c r="H149" i="4" l="1"/>
  <c r="J149" i="4" s="1"/>
  <c r="I263" i="3" l="1"/>
  <c r="F262" i="3"/>
  <c r="F263" i="3" s="1"/>
  <c r="E262" i="3"/>
  <c r="E263" i="3" s="1"/>
  <c r="D262" i="3"/>
  <c r="G261" i="3"/>
  <c r="G260" i="3"/>
  <c r="G259" i="3"/>
  <c r="G258" i="3"/>
  <c r="G257" i="3"/>
  <c r="G256" i="3"/>
  <c r="G262" i="3" s="1"/>
  <c r="I254" i="3"/>
  <c r="F253" i="3"/>
  <c r="E253" i="3"/>
  <c r="D253" i="3"/>
  <c r="D263" i="3" s="1"/>
  <c r="G252" i="3"/>
  <c r="G251" i="3"/>
  <c r="G250" i="3"/>
  <c r="G249" i="3"/>
  <c r="G248" i="3"/>
  <c r="G247" i="3"/>
  <c r="G253" i="3" s="1"/>
  <c r="G263" i="3" s="1"/>
  <c r="I238" i="3"/>
  <c r="F237" i="3"/>
  <c r="E237" i="3"/>
  <c r="D237" i="3"/>
  <c r="D238" i="3" s="1"/>
  <c r="G236" i="3"/>
  <c r="G235" i="3"/>
  <c r="G234" i="3"/>
  <c r="G233" i="3"/>
  <c r="G232" i="3"/>
  <c r="G237" i="3" s="1"/>
  <c r="G231" i="3"/>
  <c r="I229" i="3"/>
  <c r="F228" i="3"/>
  <c r="F238" i="3" s="1"/>
  <c r="E228" i="3"/>
  <c r="E238" i="3" s="1"/>
  <c r="D228" i="3"/>
  <c r="G227" i="3"/>
  <c r="G226" i="3"/>
  <c r="G225" i="3"/>
  <c r="G224" i="3"/>
  <c r="G223" i="3"/>
  <c r="G228" i="3" s="1"/>
  <c r="I209" i="3"/>
  <c r="F208" i="3"/>
  <c r="E208" i="3"/>
  <c r="D208" i="3"/>
  <c r="G207" i="3"/>
  <c r="G206" i="3"/>
  <c r="G205" i="3"/>
  <c r="G204" i="3"/>
  <c r="G203" i="3"/>
  <c r="G202" i="3"/>
  <c r="G201" i="3"/>
  <c r="G208" i="3" s="1"/>
  <c r="I199" i="3"/>
  <c r="F198" i="3"/>
  <c r="F209" i="3" s="1"/>
  <c r="E198" i="3"/>
  <c r="E209" i="3" s="1"/>
  <c r="D198" i="3"/>
  <c r="D209" i="3" s="1"/>
  <c r="G197" i="3"/>
  <c r="G196" i="3"/>
  <c r="G195" i="3"/>
  <c r="G194" i="3"/>
  <c r="G192" i="3"/>
  <c r="G198" i="3" s="1"/>
  <c r="G209" i="3" s="1"/>
  <c r="I185" i="3"/>
  <c r="F184" i="3"/>
  <c r="E184" i="3"/>
  <c r="D184" i="3"/>
  <c r="G183" i="3"/>
  <c r="G182" i="3"/>
  <c r="G181" i="3"/>
  <c r="G180" i="3"/>
  <c r="G179" i="3"/>
  <c r="G178" i="3"/>
  <c r="G184" i="3" s="1"/>
  <c r="G177" i="3"/>
  <c r="I175" i="3"/>
  <c r="F174" i="3"/>
  <c r="F185" i="3" s="1"/>
  <c r="E174" i="3"/>
  <c r="E185" i="3" s="1"/>
  <c r="D174" i="3"/>
  <c r="D185" i="3" s="1"/>
  <c r="G173" i="3"/>
  <c r="G172" i="3"/>
  <c r="G171" i="3"/>
  <c r="G170" i="3"/>
  <c r="G169" i="3"/>
  <c r="G174" i="3" s="1"/>
  <c r="I157" i="3"/>
  <c r="F156" i="3"/>
  <c r="F157" i="3" s="1"/>
  <c r="E156" i="3"/>
  <c r="E157" i="3" s="1"/>
  <c r="D156" i="3"/>
  <c r="D157" i="3" s="1"/>
  <c r="G155" i="3"/>
  <c r="G154" i="3"/>
  <c r="G153" i="3"/>
  <c r="G152" i="3"/>
  <c r="G151" i="3"/>
  <c r="G150" i="3"/>
  <c r="G156" i="3" s="1"/>
  <c r="G157" i="3" s="1"/>
  <c r="I148" i="3"/>
  <c r="F147" i="3"/>
  <c r="E147" i="3"/>
  <c r="D147" i="3"/>
  <c r="G146" i="3"/>
  <c r="G145" i="3"/>
  <c r="G144" i="3"/>
  <c r="G143" i="3"/>
  <c r="G142" i="3"/>
  <c r="G147" i="3" s="1"/>
  <c r="G141" i="3"/>
  <c r="I130" i="3"/>
  <c r="F129" i="3"/>
  <c r="F130" i="3" s="1"/>
  <c r="E129" i="3"/>
  <c r="D129" i="3"/>
  <c r="G128" i="3"/>
  <c r="G127" i="3"/>
  <c r="G126" i="3"/>
  <c r="G125" i="3"/>
  <c r="G124" i="3"/>
  <c r="G123" i="3"/>
  <c r="G129" i="3" s="1"/>
  <c r="I121" i="3"/>
  <c r="F120" i="3"/>
  <c r="E120" i="3"/>
  <c r="E130" i="3" s="1"/>
  <c r="D120" i="3"/>
  <c r="D130" i="3" s="1"/>
  <c r="G118" i="3"/>
  <c r="G117" i="3"/>
  <c r="G116" i="3"/>
  <c r="G120" i="3" s="1"/>
  <c r="I106" i="3"/>
  <c r="F105" i="3"/>
  <c r="E105" i="3"/>
  <c r="D105" i="3"/>
  <c r="G104" i="3"/>
  <c r="G103" i="3"/>
  <c r="G102" i="3"/>
  <c r="G101" i="3"/>
  <c r="G100" i="3"/>
  <c r="G99" i="3"/>
  <c r="G98" i="3"/>
  <c r="G105" i="3" s="1"/>
  <c r="I96" i="3"/>
  <c r="F95" i="3"/>
  <c r="F106" i="3" s="1"/>
  <c r="E95" i="3"/>
  <c r="E106" i="3" s="1"/>
  <c r="D95" i="3"/>
  <c r="D106" i="3" s="1"/>
  <c r="G94" i="3"/>
  <c r="G93" i="3"/>
  <c r="G92" i="3"/>
  <c r="G90" i="3"/>
  <c r="G95" i="3" s="1"/>
  <c r="G106" i="3" s="1"/>
  <c r="I80" i="3"/>
  <c r="F79" i="3"/>
  <c r="F80" i="3" s="1"/>
  <c r="E79" i="3"/>
  <c r="D79" i="3"/>
  <c r="D80" i="3" s="1"/>
  <c r="G78" i="3"/>
  <c r="G77" i="3"/>
  <c r="G76" i="3"/>
  <c r="G75" i="3"/>
  <c r="G74" i="3"/>
  <c r="G73" i="3"/>
  <c r="G79" i="3" s="1"/>
  <c r="I71" i="3"/>
  <c r="F70" i="3"/>
  <c r="E70" i="3"/>
  <c r="E80" i="3" s="1"/>
  <c r="D70" i="3"/>
  <c r="G69" i="3"/>
  <c r="G68" i="3"/>
  <c r="G67" i="3"/>
  <c r="G66" i="3"/>
  <c r="G65" i="3"/>
  <c r="G70" i="3" s="1"/>
  <c r="I49" i="3"/>
  <c r="F48" i="3"/>
  <c r="E48" i="3"/>
  <c r="D48" i="3"/>
  <c r="G47" i="3"/>
  <c r="G46" i="3"/>
  <c r="G45" i="3"/>
  <c r="G44" i="3"/>
  <c r="G43" i="3"/>
  <c r="G48" i="3" s="1"/>
  <c r="G42" i="3"/>
  <c r="G40" i="3"/>
  <c r="I38" i="3"/>
  <c r="F37" i="3"/>
  <c r="F49" i="3" s="1"/>
  <c r="E37" i="3"/>
  <c r="E49" i="3" s="1"/>
  <c r="D37" i="3"/>
  <c r="D49" i="3" s="1"/>
  <c r="G36" i="3"/>
  <c r="G35" i="3"/>
  <c r="G34" i="3"/>
  <c r="G33" i="3"/>
  <c r="G32" i="3"/>
  <c r="G37" i="3" s="1"/>
  <c r="I23" i="3"/>
  <c r="F22" i="3"/>
  <c r="F23" i="3" s="1"/>
  <c r="E22" i="3"/>
  <c r="E23" i="3" s="1"/>
  <c r="E282" i="3" s="1"/>
  <c r="I279" i="3" s="1"/>
  <c r="D22" i="3"/>
  <c r="G21" i="3"/>
  <c r="G20" i="3"/>
  <c r="G19" i="3"/>
  <c r="G18" i="3"/>
  <c r="G17" i="3"/>
  <c r="G16" i="3"/>
  <c r="G22" i="3" s="1"/>
  <c r="I14" i="3"/>
  <c r="F13" i="3"/>
  <c r="E13" i="3"/>
  <c r="D13" i="3"/>
  <c r="D23" i="3" s="1"/>
  <c r="G12" i="3"/>
  <c r="G11" i="3"/>
  <c r="G10" i="3"/>
  <c r="G9" i="3"/>
  <c r="G8" i="3"/>
  <c r="G13" i="3" s="1"/>
  <c r="G23" i="3" s="1"/>
  <c r="D282" i="3" l="1"/>
  <c r="I278" i="3" s="1"/>
  <c r="F282" i="3"/>
  <c r="I280" i="3" s="1"/>
  <c r="G130" i="3"/>
  <c r="G185" i="3"/>
  <c r="G238" i="3"/>
  <c r="G49" i="3"/>
  <c r="G282" i="3" s="1"/>
  <c r="I282" i="3" s="1"/>
  <c r="G80" i="3"/>
</calcChain>
</file>

<file path=xl/sharedStrings.xml><?xml version="1.0" encoding="utf-8"?>
<sst xmlns="http://schemas.openxmlformats.org/spreadsheetml/2006/main" count="2857" uniqueCount="346">
  <si>
    <t xml:space="preserve">  10 - ТИДНЕВНОЕ  МЕНЮ ПРИГОТОВЛЯЕМЫХ БЛЮД ШКОЛЬНЫХ  З А В Т Р А К О В  И  О Б Е Д О В </t>
  </si>
  <si>
    <t xml:space="preserve">   1-я неделя</t>
  </si>
  <si>
    <t xml:space="preserve">Сезон : </t>
  </si>
  <si>
    <t>ЗИМА  -  ВЕСНА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</si>
  <si>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</si>
  <si>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</si>
  <si>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</si>
  <si>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</si>
  <si>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</si>
  <si>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</si>
  <si>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</si>
  <si>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</si>
  <si>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</si>
  <si>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</si>
  <si>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жиры</t>
  </si>
  <si>
    <t>углеводы</t>
  </si>
  <si>
    <t>ческая</t>
  </si>
  <si>
    <t>цептуры</t>
  </si>
  <si>
    <t>Сборнику</t>
  </si>
  <si>
    <t>Б</t>
  </si>
  <si>
    <t>Ж</t>
  </si>
  <si>
    <t>У</t>
  </si>
  <si>
    <t>ценность</t>
  </si>
  <si>
    <t>Тех.Карты</t>
  </si>
  <si>
    <t>рецептур</t>
  </si>
  <si>
    <t>З А В Т Р А К</t>
  </si>
  <si>
    <t>неделя</t>
  </si>
  <si>
    <t>Каша молочная ( рисовая )</t>
  </si>
  <si>
    <t>182/11</t>
  </si>
  <si>
    <t>1 -я</t>
  </si>
  <si>
    <t>Кофейный напиток</t>
  </si>
  <si>
    <t>379/11</t>
  </si>
  <si>
    <t>День</t>
  </si>
  <si>
    <t>Хлеб пшеничный</t>
  </si>
  <si>
    <t>Пром.пр.</t>
  </si>
  <si>
    <t>1 -й</t>
  </si>
  <si>
    <t>Хлеб ржаной</t>
  </si>
  <si>
    <t>Фрукты свежие ( яблоко )</t>
  </si>
  <si>
    <t>340 / 11</t>
  </si>
  <si>
    <t>итого за завтрак</t>
  </si>
  <si>
    <t>суммарный обьём</t>
  </si>
  <si>
    <t>п/ гр.завтрак</t>
  </si>
  <si>
    <t xml:space="preserve">О Б Е Д </t>
  </si>
  <si>
    <t>Борщ с картофелем со свежей капусты</t>
  </si>
  <si>
    <t>82/11</t>
  </si>
  <si>
    <t>макароны отварные с овощами</t>
  </si>
  <si>
    <t>205 /11</t>
  </si>
  <si>
    <t>Печень по- строгановски</t>
  </si>
  <si>
    <t>80 / 50</t>
  </si>
  <si>
    <t>255/11</t>
  </si>
  <si>
    <t>Сок фруктовый (яблочный)</t>
  </si>
  <si>
    <t>389/11</t>
  </si>
  <si>
    <t>Хлеб ржанной</t>
  </si>
  <si>
    <t>итого за обед</t>
  </si>
  <si>
    <t xml:space="preserve">ВСЕГО: за  завтрак  и   обед </t>
  </si>
  <si>
    <t>порций гр.</t>
  </si>
  <si>
    <t>Норма по СанПин</t>
  </si>
  <si>
    <t>обед</t>
  </si>
  <si>
    <t>Омлет натуральный</t>
  </si>
  <si>
    <t>210 /11</t>
  </si>
  <si>
    <t>Чай с сахаром</t>
  </si>
  <si>
    <t>376/11</t>
  </si>
  <si>
    <t>2 -й</t>
  </si>
  <si>
    <t>106/11</t>
  </si>
  <si>
    <t>Котлета рубленная из птицы</t>
  </si>
  <si>
    <t>294/11</t>
  </si>
  <si>
    <t>картофель пюре/ горошек</t>
  </si>
  <si>
    <t>128-131</t>
  </si>
  <si>
    <t>овощной отварной</t>
  </si>
  <si>
    <t xml:space="preserve">  /  11</t>
  </si>
  <si>
    <t>Компот из смеси сухофруктов</t>
  </si>
  <si>
    <t>349/11</t>
  </si>
  <si>
    <t>Суп молочный с лапшой</t>
  </si>
  <si>
    <t>120 /11</t>
  </si>
  <si>
    <t xml:space="preserve">Какао с молоком </t>
  </si>
  <si>
    <t>382/11</t>
  </si>
  <si>
    <t>3 -й</t>
  </si>
  <si>
    <t>Суп с крупой и томатом</t>
  </si>
  <si>
    <t>116/11</t>
  </si>
  <si>
    <t>капуста квашеная</t>
  </si>
  <si>
    <t>47 /11</t>
  </si>
  <si>
    <t>мясо духовое с картофелем</t>
  </si>
  <si>
    <t>258/11</t>
  </si>
  <si>
    <t>Запеканка из творога с молоком</t>
  </si>
  <si>
    <t>223 /11</t>
  </si>
  <si>
    <t>сгущённым</t>
  </si>
  <si>
    <t>375/11</t>
  </si>
  <si>
    <t>4 -й</t>
  </si>
  <si>
    <t>Кондитерские изделия (печенье)</t>
  </si>
  <si>
    <t xml:space="preserve">Суп из овощей </t>
  </si>
  <si>
    <t>99/11</t>
  </si>
  <si>
    <t>Суфле из печени</t>
  </si>
  <si>
    <t>картофель пюре  /</t>
  </si>
  <si>
    <t>128-73</t>
  </si>
  <si>
    <t xml:space="preserve">  /  икра кабачковая</t>
  </si>
  <si>
    <t>Кисель ассарти фруктовое</t>
  </si>
  <si>
    <t>359/11</t>
  </si>
  <si>
    <t>хлопья кукурузные с молоком</t>
  </si>
  <si>
    <t>172/11</t>
  </si>
  <si>
    <t>Бутерброд с  рыбными изделиями</t>
  </si>
  <si>
    <t>5 - 235 /11</t>
  </si>
  <si>
    <t>5 -й</t>
  </si>
  <si>
    <t>Суп  картофельный с горохом</t>
  </si>
  <si>
    <t>102 /11</t>
  </si>
  <si>
    <t>птица тушённая с овощами</t>
  </si>
  <si>
    <t>292/11</t>
  </si>
  <si>
    <t>Овощи солёные (огурец)</t>
  </si>
  <si>
    <t>70 /11</t>
  </si>
  <si>
    <t xml:space="preserve">  2-я неделя</t>
  </si>
  <si>
    <t>Суп молочный с макаронами</t>
  </si>
  <si>
    <t>2 -я</t>
  </si>
  <si>
    <r>
      <t>Сыр порциями (</t>
    </r>
    <r>
      <rPr>
        <sz val="7"/>
        <rFont val="Arial Cyr"/>
        <charset val="204"/>
      </rPr>
      <t>Костромской)</t>
    </r>
  </si>
  <si>
    <t>15/11</t>
  </si>
  <si>
    <t xml:space="preserve">масло порциями </t>
  </si>
  <si>
    <t>14/11</t>
  </si>
  <si>
    <t>6 -й</t>
  </si>
  <si>
    <t>Борщ с картофелем</t>
  </si>
  <si>
    <t>83/11</t>
  </si>
  <si>
    <t>Плов с говядиной</t>
  </si>
  <si>
    <t>265/11</t>
  </si>
  <si>
    <t>хлопья пшеничные с молоком</t>
  </si>
  <si>
    <t>7 -й</t>
  </si>
  <si>
    <t>Рассольник ленинградский</t>
  </si>
  <si>
    <t>96/11</t>
  </si>
  <si>
    <t>Тефтели рыбные (минтай)</t>
  </si>
  <si>
    <t>100 / 20</t>
  </si>
  <si>
    <t>239/11</t>
  </si>
  <si>
    <t>картофельное пюре /</t>
  </si>
  <si>
    <t>120 / 60</t>
  </si>
  <si>
    <t>128-133</t>
  </si>
  <si>
    <t>/кукуруза отварная конс.</t>
  </si>
  <si>
    <t>160 / 40</t>
  </si>
  <si>
    <t>8 -й</t>
  </si>
  <si>
    <t>Щи из св/капусты с картофелем</t>
  </si>
  <si>
    <t>88/11</t>
  </si>
  <si>
    <t xml:space="preserve"> Каша пшеничная    /</t>
  </si>
  <si>
    <t>171-75 /</t>
  </si>
  <si>
    <t xml:space="preserve">   /   Икра  свекольная</t>
  </si>
  <si>
    <t>Каша молочная  (манная )</t>
  </si>
  <si>
    <t>181 /11</t>
  </si>
  <si>
    <t>9 -й</t>
  </si>
  <si>
    <t>Суп картофельный с клёцками</t>
  </si>
  <si>
    <t>108-109/11</t>
  </si>
  <si>
    <t>Каша рисовая с овощами</t>
  </si>
  <si>
    <t>171 -75  /11</t>
  </si>
  <si>
    <t>тефтели мясные</t>
  </si>
  <si>
    <t>278/11</t>
  </si>
  <si>
    <t xml:space="preserve"> макароны / </t>
  </si>
  <si>
    <t>203-73 /</t>
  </si>
  <si>
    <t xml:space="preserve">                   /  икра кабачковая</t>
  </si>
  <si>
    <t>Зразы рыбные (минтай)</t>
  </si>
  <si>
    <t>237 /11</t>
  </si>
  <si>
    <t>10 -й</t>
  </si>
  <si>
    <t>чай с лимоном</t>
  </si>
  <si>
    <t>377/11</t>
  </si>
  <si>
    <t>Суп картофельный с бобовыми</t>
  </si>
  <si>
    <t>Биточек из говядины</t>
  </si>
  <si>
    <t>268/11</t>
  </si>
  <si>
    <t>Рагу из овощей</t>
  </si>
  <si>
    <t>143/11</t>
  </si>
  <si>
    <t>354/11</t>
  </si>
  <si>
    <t xml:space="preserve"> Возрастная категория: (ОВЗ, инвалиды)     1 -4 класс</t>
  </si>
  <si>
    <t>50 / 50</t>
  </si>
  <si>
    <t xml:space="preserve">Суп  с рыбными </t>
  </si>
  <si>
    <t>фрикадельками  (минтай)</t>
  </si>
  <si>
    <t>80 / 15</t>
  </si>
  <si>
    <t>110 / 60</t>
  </si>
  <si>
    <t>120-114 /11</t>
  </si>
  <si>
    <t>101/11</t>
  </si>
  <si>
    <t>55 / 140</t>
  </si>
  <si>
    <t>135 /25</t>
  </si>
  <si>
    <t>Чай чёрный</t>
  </si>
  <si>
    <t>110 / 55</t>
  </si>
  <si>
    <t>180 / 20</t>
  </si>
  <si>
    <t>90 / 30</t>
  </si>
  <si>
    <t>46 / 144</t>
  </si>
  <si>
    <t xml:space="preserve"> 2-я неделя</t>
  </si>
  <si>
    <t>70 / 110</t>
  </si>
  <si>
    <t>90 / 20</t>
  </si>
  <si>
    <t>120 / 50</t>
  </si>
  <si>
    <t>135 / 25</t>
  </si>
  <si>
    <t>90 / 60</t>
  </si>
  <si>
    <t>в Возрастная категория: (ОВЗ, инвалиды)     1 -4 класс</t>
  </si>
  <si>
    <t>9 - й</t>
  </si>
  <si>
    <t>60 / 90</t>
  </si>
  <si>
    <t>Отклонение от</t>
  </si>
  <si>
    <t xml:space="preserve">меню завтраки - обеды  10-тидневка </t>
  </si>
  <si>
    <t>нормы</t>
  </si>
  <si>
    <t>в %</t>
  </si>
  <si>
    <t>( + / - )</t>
  </si>
  <si>
    <t xml:space="preserve">Итого за день по СанПиН  </t>
  </si>
  <si>
    <t>СанПиН  2.3 /2.4. 3590 - 20</t>
  </si>
  <si>
    <t>7-11 л</t>
  </si>
  <si>
    <t>З А В Т Р А К И   И  О Б Е Д Ы</t>
  </si>
  <si>
    <t xml:space="preserve">энерг-я </t>
  </si>
  <si>
    <t>Среднее за 10 дней (фактически)</t>
  </si>
  <si>
    <t>Ответственный за разработку меню инженер-технолог       ___________________________________________</t>
  </si>
  <si>
    <t>/Ткаченко А.Н./</t>
  </si>
  <si>
    <t>Литература:</t>
  </si>
  <si>
    <t xml:space="preserve">               САНИТАРНО-ЭПИДЕМИОЛОГИЧЕСКИЕ ТРЕБОВАНИЯ</t>
  </si>
  <si>
    <t xml:space="preserve">  К ОРГАНИЗАЦИИ ПИТАНИЯ ОБУЧАЮЩИХСЯ</t>
  </si>
  <si>
    <t xml:space="preserve">         В ОБЩЕОБРАЗОВАТЕЛЬНЫХ УЧРЕЖДЕНИЯХ,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</si>
  <si>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</si>
  <si>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</si>
  <si>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</si>
  <si>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СанПиН 2.3/2.4.3590 -20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</si>
  <si>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</si>
  <si>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</si>
  <si>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</si>
  <si>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</si>
  <si>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</si>
  <si>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                                  Россия Краснодарский край </t>
  </si>
  <si>
    <t xml:space="preserve">      10 - ТИДНЕВНОЕ  МЕНЮ ПРИГОТОВЛЯЕМЫХ БЛЮД ШКОЛЬНЫХ  З А В Т Р А К О В</t>
  </si>
  <si>
    <t xml:space="preserve">                 ДЛЯ  УЧАЩИХСЯ  В ОБЩЕОБРАЗОВАТЕЛЬНОМ УЧРЕЖДЕНИЕ</t>
  </si>
  <si>
    <t>1 -  я   Н Е Д Е Л Я</t>
  </si>
  <si>
    <t xml:space="preserve">      Возрастная категория:      с   7  до 11 лет</t>
  </si>
  <si>
    <t>ЗИМА  -  ВЕСНА     20__  год.</t>
  </si>
  <si>
    <t>Макароны отварные с овощами</t>
  </si>
  <si>
    <t>Печень по-строгановски</t>
  </si>
  <si>
    <t>Шницель рыбный (минтай)</t>
  </si>
  <si>
    <t>100/20</t>
  </si>
  <si>
    <t>235/11</t>
  </si>
  <si>
    <t xml:space="preserve">картофельное пюре </t>
  </si>
  <si>
    <t>128/11</t>
  </si>
  <si>
    <t>47/11</t>
  </si>
  <si>
    <t>запеканка из творога с</t>
  </si>
  <si>
    <t>130 / 20</t>
  </si>
  <si>
    <t>223/11</t>
  </si>
  <si>
    <t>молоком сгущённым</t>
  </si>
  <si>
    <t>4-й</t>
  </si>
  <si>
    <t>338/11</t>
  </si>
  <si>
    <t xml:space="preserve"> 10 - ТИДНЕВНОЕ  МЕНЮ ПРИГОТОВЛЯЕМЫХ БЛЮД ШКОЛЬНЫХ  З А В Т Р А К О В</t>
  </si>
  <si>
    <t>Птица тушёная с овощами</t>
  </si>
  <si>
    <t>31/154</t>
  </si>
  <si>
    <t>Яйцо отварное</t>
  </si>
  <si>
    <t>209/11</t>
  </si>
  <si>
    <t>5-й</t>
  </si>
  <si>
    <t>338 / 11</t>
  </si>
  <si>
    <t>2 -  я   Н Е Д Е Л Я</t>
  </si>
  <si>
    <t>6-й</t>
  </si>
  <si>
    <t xml:space="preserve">     Картофельное пюре / </t>
  </si>
  <si>
    <t>135 / 50</t>
  </si>
  <si>
    <t>128-73/11</t>
  </si>
  <si>
    <t xml:space="preserve">    / Икра кабачковая</t>
  </si>
  <si>
    <t>7-й</t>
  </si>
  <si>
    <t>Котлета рубленая из птицы</t>
  </si>
  <si>
    <t>60 / 30</t>
  </si>
  <si>
    <t xml:space="preserve">каша пшеничная/ </t>
  </si>
  <si>
    <t>80 / 70</t>
  </si>
  <si>
    <t>8-й</t>
  </si>
  <si>
    <t>Компот из сухофруктов</t>
  </si>
  <si>
    <t>Фрукты  свежие (яблоко )</t>
  </si>
  <si>
    <t>осень    20__  год.</t>
  </si>
  <si>
    <t>Каша  молочная (рисовая)</t>
  </si>
  <si>
    <t>382 /11</t>
  </si>
  <si>
    <t>9-й</t>
  </si>
  <si>
    <t>Кондитерка (печенье)</t>
  </si>
  <si>
    <t>80 / 10</t>
  </si>
  <si>
    <t>рагу из овощей</t>
  </si>
  <si>
    <t>10-й</t>
  </si>
  <si>
    <t>Кисель ассорти фруктовое</t>
  </si>
  <si>
    <t xml:space="preserve">меню завтраки 10-тидневка </t>
  </si>
  <si>
    <t>З А В Т Р А К   25 %</t>
  </si>
  <si>
    <t>Среднее за 10  дней (фактически)</t>
  </si>
  <si>
    <t xml:space="preserve">                                           Россия Краснодарский край </t>
  </si>
  <si>
    <t xml:space="preserve">                   10 - ТИДНЕВНОЕ МЕНЮ ПРИГОТОВЛЯЕМЫХ БЛЮД ШКОЛЬНЫХ  О Б Е Д О В</t>
  </si>
  <si>
    <t xml:space="preserve">                                   ДЛЯ  УЧАЩИХСЯ  В ОБЩЕОБРАЗОВАТЕЛЬНОМ УЧРЕЖДЕНИЕ</t>
  </si>
  <si>
    <r>
      <t xml:space="preserve">ЗИМА - ВЕСНА    </t>
    </r>
    <r>
      <rPr>
        <sz val="10"/>
        <rFont val="Arial Cyr"/>
        <charset val="204"/>
      </rPr>
      <t>20__  год.</t>
    </r>
  </si>
  <si>
    <t xml:space="preserve">  Пищевые вещества ( г )</t>
  </si>
  <si>
    <t>Борщ с картофелем и свежей капустой</t>
  </si>
  <si>
    <t>70 / 50</t>
  </si>
  <si>
    <t>Суп   с рыбными Фрикадельками</t>
  </si>
  <si>
    <t>200 / 50</t>
  </si>
  <si>
    <t>211/11</t>
  </si>
  <si>
    <t>Капуста квашеная</t>
  </si>
  <si>
    <t>Мясо духовое с картофелем</t>
  </si>
  <si>
    <t>53 / 132</t>
  </si>
  <si>
    <t>Компот из  смеси сухофруктов</t>
  </si>
  <si>
    <t>190 / 10</t>
  </si>
  <si>
    <t>102/11</t>
  </si>
  <si>
    <t>45 / 135</t>
  </si>
  <si>
    <t>349 /11</t>
  </si>
  <si>
    <t xml:space="preserve">   2 - я неделя</t>
  </si>
  <si>
    <t xml:space="preserve">Борщ с картофелем </t>
  </si>
  <si>
    <t>Овощи соленые (огурец)</t>
  </si>
  <si>
    <t>55 / 120</t>
  </si>
  <si>
    <t>Чай с молоком</t>
  </si>
  <si>
    <t>378/11</t>
  </si>
  <si>
    <t xml:space="preserve">  Картофельное пюре   /</t>
  </si>
  <si>
    <t>140 /50</t>
  </si>
  <si>
    <t>Щи из свежей капусты с картофелем</t>
  </si>
  <si>
    <t>80 / 20</t>
  </si>
  <si>
    <t>Суп  с клёцками</t>
  </si>
  <si>
    <t>Каша  рисовая с овощами</t>
  </si>
  <si>
    <t>175/11</t>
  </si>
  <si>
    <t>Суп  картофельный с бобовыми</t>
  </si>
  <si>
    <t>90 / 5</t>
  </si>
  <si>
    <t xml:space="preserve">меню обеды 10-тидневка </t>
  </si>
  <si>
    <t>О Б Е Д   35 %</t>
  </si>
  <si>
    <t xml:space="preserve">   Возрастная категория:   с   12   лет и старше</t>
  </si>
  <si>
    <t>94 / 50</t>
  </si>
  <si>
    <t>Омлет натуральный / горошек овощной</t>
  </si>
  <si>
    <t>212-131/11</t>
  </si>
  <si>
    <t>отварной (консервированный)</t>
  </si>
  <si>
    <t>64 / 121</t>
  </si>
  <si>
    <t>210 / 20</t>
  </si>
  <si>
    <t>71 / 159</t>
  </si>
  <si>
    <t>58 / 162</t>
  </si>
  <si>
    <t>90 / 90</t>
  </si>
  <si>
    <t>Суп с клёцками</t>
  </si>
  <si>
    <t xml:space="preserve">      Возрастная категория:      с   12  до 18 лет</t>
  </si>
  <si>
    <t>12-18 л</t>
  </si>
  <si>
    <t xml:space="preserve">О Б Е Д Ы   </t>
  </si>
  <si>
    <t xml:space="preserve">      12 - ТИДНЕВНОЕ  МЕНЮ ПРИГОТОВЛЯЕМЫХ БЛЮД ШКОЛЬНЫХ  З А В Т Р А К О В</t>
  </si>
  <si>
    <t xml:space="preserve">      Возрастная категория:      с   12   лет и старше</t>
  </si>
  <si>
    <t>145 / 60</t>
  </si>
  <si>
    <t>53 / 147</t>
  </si>
  <si>
    <t>190 /  20</t>
  </si>
  <si>
    <t>54/ 146</t>
  </si>
  <si>
    <t>Минтай запечёный под соусом</t>
  </si>
  <si>
    <t>233 /11</t>
  </si>
  <si>
    <t>120 / 80</t>
  </si>
  <si>
    <t>128-139</t>
  </si>
  <si>
    <t xml:space="preserve">   /капуста тушёная</t>
  </si>
  <si>
    <t>48 / 162</t>
  </si>
  <si>
    <t>140 / 50</t>
  </si>
  <si>
    <t>2  -  я   Н Е Д Е Л Я</t>
  </si>
  <si>
    <t>125 / 55</t>
  </si>
  <si>
    <t>Компот из смеси сухофрукт</t>
  </si>
  <si>
    <t>90 / 10</t>
  </si>
  <si>
    <t>11-й</t>
  </si>
  <si>
    <t xml:space="preserve">     Картофельное пюре / кукуруза</t>
  </si>
  <si>
    <t>128-131/11</t>
  </si>
  <si>
    <t>отварная (консервированная)</t>
  </si>
  <si>
    <t>12-й</t>
  </si>
  <si>
    <t>Среднее за 12  дней (фактически)</t>
  </si>
  <si>
    <t>день 8</t>
  </si>
  <si>
    <t>80 / 100</t>
  </si>
  <si>
    <t>105 / 15</t>
  </si>
  <si>
    <t>100 / 80</t>
  </si>
  <si>
    <t>Возрастная категория:    (ОВЗ, инвалиды)  5-11 класс</t>
  </si>
  <si>
    <t>ЗИМА  -  ВЕСНА     20 22год.</t>
  </si>
  <si>
    <t>ЗАВТРАК</t>
  </si>
  <si>
    <t>ЗИМА  -  ВЕСНА     2022  год.</t>
  </si>
  <si>
    <t>ОБЕД</t>
  </si>
  <si>
    <t>ЗИМА  -  ВЕСНА     2022__ 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</si>
</sst>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0.000"/>
  </numFmts>
  <fonts count="5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9"/>
      <color rgb="FF002060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b/>
      <sz val="7.5"/>
      <color rgb="FF002060"/>
      <name val="Times New Roman"/>
      <family val="1"/>
      <charset val="204"/>
    </font>
    <font>
      <sz val="7"/>
      <color theme="1"/>
      <name val="Arial Cyr"/>
      <family val="2"/>
      <charset val="204"/>
    </font>
    <font>
      <b/>
      <sz val="7"/>
      <color rgb="FF002060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color rgb="FF00206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rgb="FFEBF1DE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30">
    <xf numFmtId="0" fontId="0" fillId="0" borderId="0" xfId="0"/>
    <xf numFmtId="0" fontId="7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9" fontId="5" fillId="0" borderId="0" xfId="0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9" fontId="17" fillId="0" borderId="0" xfId="0" applyNumberFormat="1" applyFont="1" applyAlignment="1">
      <alignment horizontal="center"/>
    </xf>
    <xf numFmtId="0" fontId="8" fillId="0" borderId="0" xfId="0" applyFont="1"/>
    <xf numFmtId="0" fontId="37" fillId="0" borderId="0" xfId="0" applyFont="1"/>
    <xf numFmtId="0" fontId="28" fillId="0" borderId="19" xfId="0" applyFont="1" applyBorder="1" applyAlignment="1">
      <alignment horizontal="center" vertical="center"/>
    </xf>
    <xf numFmtId="0" fontId="0" fillId="0" borderId="4" xfId="0" applyBorder="1"/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/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 vertical="center"/>
    </xf>
    <xf numFmtId="0" fontId="29" fillId="0" borderId="11" xfId="0" applyFont="1" applyBorder="1"/>
    <xf numFmtId="0" fontId="6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1" fontId="20" fillId="0" borderId="40" xfId="0" applyNumberFormat="1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29" fillId="0" borderId="26" xfId="0" applyFont="1" applyBorder="1" applyAlignment="1">
      <alignment horizontal="center"/>
    </xf>
    <xf numFmtId="0" fontId="3" fillId="0" borderId="36" xfId="0" applyFont="1" applyFill="1" applyBorder="1"/>
    <xf numFmtId="0" fontId="3" fillId="0" borderId="59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" fontId="20" fillId="0" borderId="56" xfId="0" applyNumberFormat="1" applyFont="1" applyBorder="1" applyAlignment="1">
      <alignment horizontal="center"/>
    </xf>
    <xf numFmtId="0" fontId="12" fillId="0" borderId="59" xfId="0" applyFont="1" applyBorder="1" applyAlignment="1">
      <alignment horizontal="right"/>
    </xf>
    <xf numFmtId="2" fontId="20" fillId="0" borderId="26" xfId="0" applyNumberFormat="1" applyFont="1" applyBorder="1" applyAlignment="1">
      <alignment horizontal="center" vertical="center" wrapText="1"/>
    </xf>
    <xf numFmtId="1" fontId="20" fillId="0" borderId="67" xfId="0" applyNumberFormat="1" applyFont="1" applyBorder="1" applyAlignment="1">
      <alignment horizontal="center"/>
    </xf>
    <xf numFmtId="0" fontId="10" fillId="0" borderId="73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/>
    </xf>
    <xf numFmtId="0" fontId="3" fillId="0" borderId="36" xfId="0" applyFont="1" applyBorder="1"/>
    <xf numFmtId="1" fontId="20" fillId="0" borderId="60" xfId="0" applyNumberFormat="1" applyFont="1" applyBorder="1" applyAlignment="1">
      <alignment horizontal="center"/>
    </xf>
    <xf numFmtId="0" fontId="10" fillId="0" borderId="59" xfId="0" applyFont="1" applyBorder="1" applyAlignment="1">
      <alignment horizontal="right"/>
    </xf>
    <xf numFmtId="2" fontId="11" fillId="0" borderId="26" xfId="0" applyNumberFormat="1" applyFont="1" applyBorder="1" applyAlignment="1">
      <alignment horizontal="center" vertical="center" wrapText="1"/>
    </xf>
    <xf numFmtId="0" fontId="3" fillId="0" borderId="39" xfId="0" applyFont="1" applyBorder="1"/>
    <xf numFmtId="0" fontId="3" fillId="0" borderId="73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2" fontId="13" fillId="0" borderId="68" xfId="0" applyNumberFormat="1" applyFont="1" applyBorder="1" applyAlignment="1">
      <alignment horizontal="center"/>
    </xf>
    <xf numFmtId="1" fontId="20" fillId="0" borderId="41" xfId="0" applyNumberFormat="1" applyFont="1" applyBorder="1" applyAlignment="1">
      <alignment horizontal="center"/>
    </xf>
    <xf numFmtId="0" fontId="3" fillId="0" borderId="72" xfId="0" applyFont="1" applyBorder="1"/>
    <xf numFmtId="0" fontId="3" fillId="0" borderId="72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13" fillId="0" borderId="58" xfId="0" applyNumberFormat="1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164" fontId="10" fillId="0" borderId="72" xfId="0" applyNumberFormat="1" applyFont="1" applyBorder="1" applyAlignment="1">
      <alignment horizontal="right"/>
    </xf>
    <xf numFmtId="0" fontId="6" fillId="0" borderId="26" xfId="0" applyFont="1" applyBorder="1" applyAlignment="1">
      <alignment horizontal="left"/>
    </xf>
    <xf numFmtId="0" fontId="3" fillId="0" borderId="0" xfId="0" applyFont="1" applyAlignment="1">
      <alignment horizontal="left"/>
    </xf>
    <xf numFmtId="2" fontId="19" fillId="0" borderId="19" xfId="0" applyNumberFormat="1" applyFont="1" applyBorder="1" applyAlignment="1">
      <alignment horizontal="center" vertical="center"/>
    </xf>
    <xf numFmtId="166" fontId="19" fillId="0" borderId="38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28" fillId="0" borderId="5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0" fillId="0" borderId="26" xfId="0" applyBorder="1"/>
    <xf numFmtId="0" fontId="0" fillId="0" borderId="3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9" xfId="0" applyBorder="1" applyAlignment="1">
      <alignment horizontal="left"/>
    </xf>
    <xf numFmtId="0" fontId="30" fillId="0" borderId="12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45" xfId="0" applyBorder="1" applyAlignment="1">
      <alignment horizontal="left"/>
    </xf>
    <xf numFmtId="0" fontId="3" fillId="0" borderId="3" xfId="0" applyFont="1" applyBorder="1"/>
    <xf numFmtId="0" fontId="15" fillId="0" borderId="59" xfId="0" applyFont="1" applyBorder="1" applyAlignment="1">
      <alignment horizontal="center"/>
    </xf>
    <xf numFmtId="0" fontId="3" fillId="0" borderId="60" xfId="0" applyFont="1" applyBorder="1"/>
    <xf numFmtId="0" fontId="12" fillId="0" borderId="60" xfId="0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7" fillId="0" borderId="60" xfId="0" applyFont="1" applyBorder="1" applyAlignment="1">
      <alignment horizontal="left"/>
    </xf>
    <xf numFmtId="0" fontId="10" fillId="0" borderId="5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1" fontId="20" fillId="0" borderId="53" xfId="0" applyNumberFormat="1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2" fontId="19" fillId="0" borderId="40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2" fontId="19" fillId="0" borderId="22" xfId="0" applyNumberFormat="1" applyFont="1" applyBorder="1" applyAlignment="1">
      <alignment horizontal="center" vertical="center"/>
    </xf>
    <xf numFmtId="2" fontId="19" fillId="0" borderId="23" xfId="0" applyNumberFormat="1" applyFont="1" applyBorder="1" applyAlignment="1">
      <alignment horizontal="center" vertical="center"/>
    </xf>
    <xf numFmtId="2" fontId="19" fillId="0" borderId="24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9" fillId="0" borderId="27" xfId="0" applyFont="1" applyBorder="1" applyAlignment="1">
      <alignment horizontal="center"/>
    </xf>
    <xf numFmtId="0" fontId="0" fillId="0" borderId="17" xfId="0" applyBorder="1"/>
    <xf numFmtId="0" fontId="14" fillId="2" borderId="18" xfId="0" applyFont="1" applyFill="1" applyBorder="1" applyAlignment="1">
      <alignment horizontal="right"/>
    </xf>
    <xf numFmtId="0" fontId="0" fillId="0" borderId="18" xfId="0" applyBorder="1"/>
    <xf numFmtId="165" fontId="25" fillId="2" borderId="57" xfId="0" applyNumberFormat="1" applyFont="1" applyFill="1" applyBorder="1" applyAlignment="1">
      <alignment horizontal="center"/>
    </xf>
    <xf numFmtId="165" fontId="25" fillId="2" borderId="15" xfId="0" applyNumberFormat="1" applyFont="1" applyFill="1" applyBorder="1" applyAlignment="1">
      <alignment horizontal="center"/>
    </xf>
    <xf numFmtId="165" fontId="25" fillId="0" borderId="15" xfId="0" applyNumberFormat="1" applyFont="1" applyBorder="1" applyAlignment="1">
      <alignment horizontal="center"/>
    </xf>
    <xf numFmtId="165" fontId="25" fillId="0" borderId="5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39" fillId="0" borderId="39" xfId="0" applyFont="1" applyBorder="1"/>
    <xf numFmtId="0" fontId="12" fillId="0" borderId="49" xfId="0" applyFont="1" applyBorder="1" applyAlignment="1">
      <alignment horizontal="center"/>
    </xf>
    <xf numFmtId="166" fontId="12" fillId="0" borderId="68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2" fontId="13" fillId="0" borderId="69" xfId="0" applyNumberFormat="1" applyFont="1" applyBorder="1" applyAlignment="1">
      <alignment horizontal="center"/>
    </xf>
    <xf numFmtId="1" fontId="20" fillId="0" borderId="73" xfId="0" applyNumberFormat="1" applyFont="1" applyBorder="1" applyAlignment="1">
      <alignment horizontal="center"/>
    </xf>
    <xf numFmtId="2" fontId="13" fillId="0" borderId="66" xfId="0" applyNumberFormat="1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" fillId="0" borderId="70" xfId="0" applyFont="1" applyBorder="1"/>
    <xf numFmtId="0" fontId="29" fillId="0" borderId="33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7" xfId="0" applyBorder="1" applyAlignment="1">
      <alignment horizontal="left"/>
    </xf>
    <xf numFmtId="0" fontId="3" fillId="0" borderId="25" xfId="0" applyFont="1" applyBorder="1"/>
    <xf numFmtId="0" fontId="15" fillId="0" borderId="73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166" fontId="41" fillId="0" borderId="68" xfId="0" applyNumberFormat="1" applyFont="1" applyBorder="1" applyAlignment="1">
      <alignment horizontal="center"/>
    </xf>
    <xf numFmtId="2" fontId="13" fillId="0" borderId="64" xfId="0" applyNumberFormat="1" applyFont="1" applyBorder="1" applyAlignment="1">
      <alignment horizontal="center"/>
    </xf>
    <xf numFmtId="1" fontId="20" fillId="0" borderId="26" xfId="0" applyNumberFormat="1" applyFont="1" applyFill="1" applyBorder="1" applyAlignment="1">
      <alignment horizontal="center"/>
    </xf>
    <xf numFmtId="0" fontId="48" fillId="0" borderId="25" xfId="0" applyFont="1" applyBorder="1"/>
    <xf numFmtId="0" fontId="0" fillId="0" borderId="4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26" xfId="0" applyFill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1" fontId="20" fillId="0" borderId="59" xfId="0" applyNumberFormat="1" applyFont="1" applyBorder="1" applyAlignment="1">
      <alignment horizontal="center"/>
    </xf>
    <xf numFmtId="0" fontId="17" fillId="0" borderId="49" xfId="0" applyFont="1" applyFill="1" applyBorder="1"/>
    <xf numFmtId="0" fontId="2" fillId="0" borderId="73" xfId="0" applyFont="1" applyBorder="1" applyAlignment="1">
      <alignment horizontal="center"/>
    </xf>
    <xf numFmtId="0" fontId="3" fillId="0" borderId="52" xfId="0" applyFont="1" applyFill="1" applyBorder="1"/>
    <xf numFmtId="0" fontId="3" fillId="0" borderId="47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3" fillId="0" borderId="35" xfId="0" applyNumberFormat="1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11" xfId="0" applyBorder="1"/>
    <xf numFmtId="0" fontId="10" fillId="0" borderId="46" xfId="0" applyFont="1" applyBorder="1" applyAlignment="1">
      <alignment horizontal="center"/>
    </xf>
    <xf numFmtId="2" fontId="13" fillId="0" borderId="61" xfId="0" applyNumberFormat="1" applyFont="1" applyBorder="1" applyAlignment="1">
      <alignment horizontal="center"/>
    </xf>
    <xf numFmtId="1" fontId="20" fillId="0" borderId="72" xfId="0" applyNumberFormat="1" applyFont="1" applyBorder="1" applyAlignment="1">
      <alignment horizontal="center"/>
    </xf>
    <xf numFmtId="0" fontId="10" fillId="0" borderId="72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17" fillId="0" borderId="73" xfId="0" applyFont="1" applyBorder="1" applyAlignment="1">
      <alignment horizontal="left"/>
    </xf>
    <xf numFmtId="0" fontId="15" fillId="0" borderId="27" xfId="0" applyFont="1" applyBorder="1" applyAlignment="1">
      <alignment horizontal="center"/>
    </xf>
    <xf numFmtId="0" fontId="3" fillId="0" borderId="59" xfId="0" applyFont="1" applyBorder="1"/>
    <xf numFmtId="0" fontId="17" fillId="0" borderId="62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3" fillId="0" borderId="59" xfId="0" applyFont="1" applyFill="1" applyBorder="1"/>
    <xf numFmtId="0" fontId="43" fillId="0" borderId="56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33" fillId="0" borderId="59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3" fillId="0" borderId="49" xfId="0" applyFont="1" applyBorder="1"/>
    <xf numFmtId="0" fontId="10" fillId="0" borderId="39" xfId="0" applyFont="1" applyBorder="1" applyAlignment="1">
      <alignment horizontal="center"/>
    </xf>
    <xf numFmtId="0" fontId="3" fillId="0" borderId="52" xfId="0" applyFont="1" applyBorder="1"/>
    <xf numFmtId="1" fontId="33" fillId="0" borderId="47" xfId="0" applyNumberFormat="1" applyFont="1" applyBorder="1" applyAlignment="1">
      <alignment horizontal="center"/>
    </xf>
    <xf numFmtId="0" fontId="0" fillId="0" borderId="47" xfId="0" applyBorder="1" applyAlignment="1">
      <alignment horizontal="right"/>
    </xf>
    <xf numFmtId="0" fontId="3" fillId="0" borderId="35" xfId="0" applyFont="1" applyFill="1" applyBorder="1"/>
    <xf numFmtId="0" fontId="12" fillId="0" borderId="5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34" xfId="0" applyFont="1" applyBorder="1"/>
    <xf numFmtId="0" fontId="3" fillId="0" borderId="11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64" fontId="10" fillId="0" borderId="11" xfId="0" applyNumberFormat="1" applyFont="1" applyBorder="1" applyAlignment="1">
      <alignment horizontal="right"/>
    </xf>
    <xf numFmtId="0" fontId="30" fillId="0" borderId="19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2" fontId="30" fillId="0" borderId="2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5" xfId="0" applyFont="1" applyBorder="1"/>
    <xf numFmtId="1" fontId="20" fillId="2" borderId="26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17" fillId="0" borderId="64" xfId="0" applyFont="1" applyBorder="1" applyAlignment="1">
      <alignment horizontal="left"/>
    </xf>
    <xf numFmtId="0" fontId="17" fillId="0" borderId="64" xfId="0" applyFont="1" applyFill="1" applyBorder="1"/>
    <xf numFmtId="0" fontId="2" fillId="0" borderId="49" xfId="0" applyFont="1" applyBorder="1" applyAlignment="1">
      <alignment horizontal="center"/>
    </xf>
    <xf numFmtId="0" fontId="3" fillId="0" borderId="55" xfId="0" applyFont="1" applyFill="1" applyBorder="1"/>
    <xf numFmtId="0" fontId="2" fillId="0" borderId="52" xfId="0" applyFont="1" applyBorder="1" applyAlignment="1">
      <alignment horizontal="center"/>
    </xf>
    <xf numFmtId="0" fontId="30" fillId="0" borderId="40" xfId="0" applyFont="1" applyBorder="1" applyAlignment="1">
      <alignment horizontal="left"/>
    </xf>
    <xf numFmtId="0" fontId="30" fillId="0" borderId="38" xfId="0" applyFont="1" applyBorder="1" applyAlignment="1">
      <alignment horizontal="left"/>
    </xf>
    <xf numFmtId="165" fontId="30" fillId="0" borderId="38" xfId="0" applyNumberFormat="1" applyFont="1" applyBorder="1" applyAlignment="1">
      <alignment horizontal="left"/>
    </xf>
    <xf numFmtId="0" fontId="33" fillId="0" borderId="73" xfId="0" applyFont="1" applyBorder="1" applyAlignment="1">
      <alignment horizontal="center"/>
    </xf>
    <xf numFmtId="0" fontId="10" fillId="0" borderId="50" xfId="0" applyFont="1" applyBorder="1" applyAlignment="1">
      <alignment horizontal="right"/>
    </xf>
    <xf numFmtId="0" fontId="15" fillId="0" borderId="36" xfId="0" applyFont="1" applyBorder="1" applyAlignment="1">
      <alignment horizontal="left"/>
    </xf>
    <xf numFmtId="0" fontId="30" fillId="0" borderId="37" xfId="0" applyFont="1" applyBorder="1" applyAlignment="1">
      <alignment horizontal="center"/>
    </xf>
    <xf numFmtId="2" fontId="30" fillId="0" borderId="28" xfId="0" applyNumberFormat="1" applyFont="1" applyBorder="1" applyAlignment="1">
      <alignment horizontal="center"/>
    </xf>
    <xf numFmtId="0" fontId="29" fillId="0" borderId="34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2" fontId="46" fillId="0" borderId="68" xfId="0" applyNumberFormat="1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2" fontId="30" fillId="0" borderId="3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2" fontId="19" fillId="0" borderId="0" xfId="0" applyNumberFormat="1" applyFont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" fontId="20" fillId="0" borderId="45" xfId="0" applyNumberFormat="1" applyFont="1" applyBorder="1" applyAlignment="1">
      <alignment horizontal="center"/>
    </xf>
    <xf numFmtId="0" fontId="3" fillId="0" borderId="39" xfId="0" applyFont="1" applyFill="1" applyBorder="1"/>
    <xf numFmtId="0" fontId="15" fillId="0" borderId="26" xfId="0" applyFont="1" applyBorder="1" applyAlignment="1">
      <alignment horizontal="center"/>
    </xf>
    <xf numFmtId="0" fontId="3" fillId="0" borderId="2" xfId="0" applyFont="1" applyBorder="1"/>
    <xf numFmtId="49" fontId="10" fillId="0" borderId="59" xfId="0" applyNumberFormat="1" applyFont="1" applyBorder="1" applyAlignment="1">
      <alignment horizontal="right"/>
    </xf>
    <xf numFmtId="166" fontId="10" fillId="0" borderId="1" xfId="0" applyNumberFormat="1" applyFont="1" applyBorder="1" applyAlignment="1">
      <alignment horizontal="center"/>
    </xf>
    <xf numFmtId="0" fontId="3" fillId="0" borderId="65" xfId="0" applyFont="1" applyBorder="1"/>
    <xf numFmtId="1" fontId="20" fillId="0" borderId="11" xfId="0" applyNumberFormat="1" applyFont="1" applyBorder="1" applyAlignment="1">
      <alignment horizontal="center"/>
    </xf>
    <xf numFmtId="166" fontId="30" fillId="0" borderId="38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17" fillId="0" borderId="50" xfId="0" applyFont="1" applyBorder="1" applyAlignment="1">
      <alignment horizontal="left"/>
    </xf>
    <xf numFmtId="0" fontId="3" fillId="0" borderId="66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12" fillId="0" borderId="47" xfId="0" applyFont="1" applyBorder="1" applyAlignment="1">
      <alignment horizontal="right"/>
    </xf>
    <xf numFmtId="0" fontId="3" fillId="0" borderId="62" xfId="0" applyFont="1" applyBorder="1"/>
    <xf numFmtId="0" fontId="3" fillId="0" borderId="51" xfId="0" applyFont="1" applyBorder="1"/>
    <xf numFmtId="2" fontId="30" fillId="0" borderId="37" xfId="0" applyNumberFormat="1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" fillId="0" borderId="0" xfId="0" applyFont="1"/>
    <xf numFmtId="0" fontId="49" fillId="0" borderId="2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/>
    </xf>
    <xf numFmtId="0" fontId="12" fillId="0" borderId="20" xfId="0" applyFont="1" applyBorder="1" applyAlignment="1">
      <alignment horizontal="right"/>
    </xf>
    <xf numFmtId="0" fontId="3" fillId="0" borderId="73" xfId="0" applyFont="1" applyBorder="1"/>
    <xf numFmtId="0" fontId="32" fillId="0" borderId="7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17" fillId="0" borderId="26" xfId="0" applyFont="1" applyBorder="1" applyAlignment="1">
      <alignment horizontal="left"/>
    </xf>
    <xf numFmtId="0" fontId="5" fillId="0" borderId="52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7" xfId="0" applyFont="1" applyBorder="1"/>
    <xf numFmtId="0" fontId="3" fillId="0" borderId="51" xfId="0" applyFont="1" applyBorder="1" applyAlignment="1">
      <alignment horizontal="left"/>
    </xf>
    <xf numFmtId="0" fontId="29" fillId="0" borderId="2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2" fontId="13" fillId="0" borderId="37" xfId="0" applyNumberFormat="1" applyFont="1" applyBorder="1" applyAlignment="1">
      <alignment horizontal="center"/>
    </xf>
    <xf numFmtId="0" fontId="3" fillId="0" borderId="50" xfId="0" applyFont="1" applyBorder="1"/>
    <xf numFmtId="0" fontId="3" fillId="0" borderId="16" xfId="0" applyFont="1" applyBorder="1"/>
    <xf numFmtId="0" fontId="15" fillId="0" borderId="66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166" fontId="41" fillId="0" borderId="1" xfId="0" applyNumberFormat="1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166" fontId="47" fillId="0" borderId="68" xfId="0" applyNumberFormat="1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2" fontId="46" fillId="0" borderId="3" xfId="0" applyNumberFormat="1" applyFont="1" applyBorder="1" applyAlignment="1">
      <alignment horizontal="center"/>
    </xf>
    <xf numFmtId="2" fontId="46" fillId="0" borderId="21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" fillId="0" borderId="63" xfId="0" applyFont="1" applyBorder="1"/>
    <xf numFmtId="1" fontId="20" fillId="0" borderId="70" xfId="0" applyNumberFormat="1" applyFont="1" applyBorder="1" applyAlignment="1">
      <alignment horizontal="center"/>
    </xf>
    <xf numFmtId="165" fontId="30" fillId="0" borderId="38" xfId="0" applyNumberFormat="1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165" fontId="41" fillId="0" borderId="1" xfId="0" applyNumberFormat="1" applyFont="1" applyBorder="1" applyAlignment="1">
      <alignment horizontal="center"/>
    </xf>
    <xf numFmtId="164" fontId="10" fillId="0" borderId="47" xfId="0" applyNumberFormat="1" applyFont="1" applyBorder="1" applyAlignment="1">
      <alignment horizontal="right"/>
    </xf>
    <xf numFmtId="0" fontId="17" fillId="0" borderId="59" xfId="0" applyFont="1" applyBorder="1" applyAlignment="1">
      <alignment horizontal="left"/>
    </xf>
    <xf numFmtId="0" fontId="15" fillId="0" borderId="62" xfId="0" applyFont="1" applyBorder="1" applyAlignment="1">
      <alignment horizontal="center"/>
    </xf>
    <xf numFmtId="2" fontId="10" fillId="0" borderId="60" xfId="0" applyNumberFormat="1" applyFont="1" applyBorder="1" applyAlignment="1">
      <alignment horizontal="center"/>
    </xf>
    <xf numFmtId="2" fontId="10" fillId="0" borderId="36" xfId="0" applyNumberFormat="1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166" fontId="30" fillId="0" borderId="3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63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2" fontId="15" fillId="0" borderId="38" xfId="0" applyNumberFormat="1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19" xfId="0" applyFont="1" applyBorder="1"/>
    <xf numFmtId="0" fontId="20" fillId="0" borderId="5" xfId="0" applyFont="1" applyBorder="1" applyAlignment="1">
      <alignment horizontal="left"/>
    </xf>
    <xf numFmtId="0" fontId="20" fillId="0" borderId="20" xfId="0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/>
    <xf numFmtId="2" fontId="11" fillId="0" borderId="0" xfId="0" applyNumberFormat="1" applyFont="1" applyAlignment="1">
      <alignment horizontal="left"/>
    </xf>
    <xf numFmtId="0" fontId="20" fillId="0" borderId="27" xfId="0" applyFont="1" applyBorder="1" applyAlignment="1">
      <alignment horizontal="right"/>
    </xf>
    <xf numFmtId="0" fontId="31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34" xfId="0" applyBorder="1"/>
    <xf numFmtId="0" fontId="0" fillId="0" borderId="12" xfId="0" applyBorder="1"/>
    <xf numFmtId="0" fontId="7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49" xfId="0" applyBorder="1"/>
    <xf numFmtId="2" fontId="20" fillId="0" borderId="39" xfId="0" applyNumberFormat="1" applyFont="1" applyBorder="1" applyAlignment="1">
      <alignment horizontal="center"/>
    </xf>
    <xf numFmtId="9" fontId="20" fillId="0" borderId="39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165" fontId="22" fillId="0" borderId="23" xfId="0" applyNumberFormat="1" applyFont="1" applyBorder="1" applyAlignment="1">
      <alignment horizontal="center"/>
    </xf>
    <xf numFmtId="1" fontId="22" fillId="0" borderId="23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0" fontId="31" fillId="0" borderId="48" xfId="0" applyFont="1" applyBorder="1" applyAlignment="1">
      <alignment horizontal="center" vertical="center"/>
    </xf>
    <xf numFmtId="166" fontId="0" fillId="0" borderId="71" xfId="0" applyNumberFormat="1" applyBorder="1"/>
    <xf numFmtId="0" fontId="0" fillId="0" borderId="52" xfId="0" applyBorder="1"/>
    <xf numFmtId="0" fontId="20" fillId="0" borderId="0" xfId="0" applyFont="1" applyAlignment="1">
      <alignment horizontal="right"/>
    </xf>
    <xf numFmtId="0" fontId="23" fillId="0" borderId="56" xfId="0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23" fillId="0" borderId="66" xfId="0" applyFont="1" applyBorder="1" applyAlignment="1">
      <alignment horizontal="right"/>
    </xf>
    <xf numFmtId="0" fontId="31" fillId="0" borderId="2" xfId="0" applyFont="1" applyBorder="1" applyAlignment="1">
      <alignment horizontal="center" vertical="center"/>
    </xf>
    <xf numFmtId="166" fontId="0" fillId="0" borderId="66" xfId="0" applyNumberFormat="1" applyBorder="1"/>
    <xf numFmtId="0" fontId="35" fillId="5" borderId="60" xfId="0" applyFont="1" applyFill="1" applyBorder="1"/>
    <xf numFmtId="2" fontId="25" fillId="5" borderId="1" xfId="0" applyNumberFormat="1" applyFont="1" applyFill="1" applyBorder="1" applyAlignment="1">
      <alignment horizontal="center"/>
    </xf>
    <xf numFmtId="9" fontId="11" fillId="4" borderId="35" xfId="0" applyNumberFormat="1" applyFont="1" applyFill="1" applyBorder="1" applyAlignment="1">
      <alignment horizontal="center"/>
    </xf>
    <xf numFmtId="165" fontId="25" fillId="6" borderId="56" xfId="0" applyNumberFormat="1" applyFont="1" applyFill="1" applyBorder="1" applyAlignment="1">
      <alignment horizontal="center"/>
    </xf>
    <xf numFmtId="165" fontId="25" fillId="6" borderId="1" xfId="0" applyNumberFormat="1" applyFont="1" applyFill="1" applyBorder="1" applyAlignment="1">
      <alignment horizontal="center"/>
    </xf>
    <xf numFmtId="165" fontId="25" fillId="4" borderId="1" xfId="0" applyNumberFormat="1" applyFont="1" applyFill="1" applyBorder="1" applyAlignment="1">
      <alignment horizontal="center"/>
    </xf>
    <xf numFmtId="165" fontId="25" fillId="4" borderId="66" xfId="0" applyNumberFormat="1" applyFont="1" applyFill="1" applyBorder="1" applyAlignment="1">
      <alignment horizontal="center"/>
    </xf>
    <xf numFmtId="2" fontId="20" fillId="0" borderId="0" xfId="0" applyNumberFormat="1" applyFont="1"/>
    <xf numFmtId="0" fontId="20" fillId="0" borderId="36" xfId="0" applyFont="1" applyBorder="1" applyAlignment="1">
      <alignment horizontal="right"/>
    </xf>
    <xf numFmtId="1" fontId="20" fillId="0" borderId="21" xfId="0" applyNumberFormat="1" applyFont="1" applyBorder="1" applyAlignment="1">
      <alignment horizontal="center"/>
    </xf>
    <xf numFmtId="1" fontId="20" fillId="0" borderId="54" xfId="0" applyNumberFormat="1" applyFont="1" applyBorder="1" applyAlignment="1">
      <alignment horizontal="center"/>
    </xf>
    <xf numFmtId="0" fontId="28" fillId="0" borderId="39" xfId="0" applyFont="1" applyBorder="1" applyAlignment="1">
      <alignment horizontal="left"/>
    </xf>
    <xf numFmtId="166" fontId="0" fillId="0" borderId="69" xfId="0" applyNumberFormat="1" applyBorder="1"/>
    <xf numFmtId="0" fontId="0" fillId="3" borderId="70" xfId="0" applyFill="1" applyBorder="1"/>
    <xf numFmtId="2" fontId="11" fillId="3" borderId="46" xfId="0" applyNumberFormat="1" applyFont="1" applyFill="1" applyBorder="1" applyAlignment="1">
      <alignment horizontal="center"/>
    </xf>
    <xf numFmtId="0" fontId="26" fillId="3" borderId="65" xfId="0" applyFont="1" applyFill="1" applyBorder="1" applyAlignment="1">
      <alignment horizontal="right"/>
    </xf>
    <xf numFmtId="2" fontId="22" fillId="3" borderId="57" xfId="0" applyNumberFormat="1" applyFont="1" applyFill="1" applyBorder="1" applyAlignment="1">
      <alignment horizontal="center"/>
    </xf>
    <xf numFmtId="2" fontId="22" fillId="3" borderId="15" xfId="0" applyNumberFormat="1" applyFont="1" applyFill="1" applyBorder="1" applyAlignment="1">
      <alignment horizontal="center"/>
    </xf>
    <xf numFmtId="2" fontId="22" fillId="3" borderId="58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left"/>
    </xf>
    <xf numFmtId="166" fontId="0" fillId="0" borderId="29" xfId="0" applyNumberFormat="1" applyBorder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42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2" fillId="0" borderId="0" xfId="0" applyFont="1"/>
    <xf numFmtId="0" fontId="27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4" fillId="0" borderId="0" xfId="0" applyFont="1"/>
    <xf numFmtId="0" fontId="4" fillId="0" borderId="0" xfId="0" applyFont="1"/>
    <xf numFmtId="0" fontId="9" fillId="0" borderId="0" xfId="0" applyFont="1" applyAlignment="1">
      <alignment horizontal="left"/>
    </xf>
    <xf numFmtId="0" fontId="2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4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0" fillId="0" borderId="45" xfId="0" applyFont="1" applyBorder="1" applyAlignment="1">
      <alignment horizontal="right"/>
    </xf>
    <xf numFmtId="0" fontId="0" fillId="0" borderId="26" xfId="0" applyBorder="1" applyAlignment="1">
      <alignment horizontal="center"/>
    </xf>
    <xf numFmtId="1" fontId="50" fillId="0" borderId="56" xfId="0" applyNumberFormat="1" applyFont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31" fillId="0" borderId="19" xfId="0" applyFont="1" applyBorder="1" applyAlignment="1">
      <alignment horizontal="left"/>
    </xf>
    <xf numFmtId="0" fontId="14" fillId="2" borderId="17" xfId="0" applyFont="1" applyFill="1" applyBorder="1" applyAlignment="1">
      <alignment horizontal="left"/>
    </xf>
    <xf numFmtId="0" fontId="0" fillId="0" borderId="32" xfId="0" applyBorder="1"/>
    <xf numFmtId="2" fontId="42" fillId="2" borderId="57" xfId="0" applyNumberFormat="1" applyFont="1" applyFill="1" applyBorder="1" applyAlignment="1">
      <alignment horizontal="center"/>
    </xf>
    <xf numFmtId="2" fontId="42" fillId="2" borderId="15" xfId="0" applyNumberFormat="1" applyFont="1" applyFill="1" applyBorder="1" applyAlignment="1">
      <alignment horizontal="center"/>
    </xf>
    <xf numFmtId="165" fontId="42" fillId="2" borderId="61" xfId="0" applyNumberFormat="1" applyFont="1" applyFill="1" applyBorder="1" applyAlignment="1">
      <alignment horizontal="center"/>
    </xf>
    <xf numFmtId="0" fontId="30" fillId="0" borderId="34" xfId="0" applyFont="1" applyBorder="1" applyAlignment="1">
      <alignment horizontal="left"/>
    </xf>
    <xf numFmtId="0" fontId="31" fillId="0" borderId="34" xfId="0" applyFont="1" applyBorder="1" applyAlignment="1">
      <alignment horizontal="center" vertical="center"/>
    </xf>
    <xf numFmtId="0" fontId="3" fillId="0" borderId="45" xfId="0" applyFont="1" applyBorder="1"/>
    <xf numFmtId="0" fontId="3" fillId="0" borderId="10" xfId="0" applyFont="1" applyBorder="1" applyAlignment="1">
      <alignment horizontal="center"/>
    </xf>
    <xf numFmtId="2" fontId="10" fillId="0" borderId="41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166" fontId="10" fillId="0" borderId="31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9" fillId="0" borderId="73" xfId="0" applyFont="1" applyBorder="1"/>
    <xf numFmtId="0" fontId="39" fillId="0" borderId="50" xfId="0" applyFont="1" applyBorder="1" applyAlignment="1">
      <alignment horizontal="center"/>
    </xf>
    <xf numFmtId="166" fontId="19" fillId="0" borderId="22" xfId="0" applyNumberFormat="1" applyFont="1" applyBorder="1" applyAlignment="1">
      <alignment horizontal="center" vertical="center"/>
    </xf>
    <xf numFmtId="166" fontId="19" fillId="0" borderId="23" xfId="0" applyNumberFormat="1" applyFont="1" applyBorder="1" applyAlignment="1">
      <alignment horizontal="center" vertical="center"/>
    </xf>
    <xf numFmtId="0" fontId="3" fillId="0" borderId="33" xfId="0" applyFont="1" applyBorder="1"/>
    <xf numFmtId="165" fontId="12" fillId="0" borderId="1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164" fontId="10" fillId="0" borderId="45" xfId="0" applyNumberFormat="1" applyFont="1" applyBorder="1" applyAlignment="1">
      <alignment horizontal="right"/>
    </xf>
    <xf numFmtId="0" fontId="3" fillId="0" borderId="60" xfId="0" applyFont="1" applyFill="1" applyBorder="1"/>
    <xf numFmtId="1" fontId="20" fillId="0" borderId="52" xfId="0" applyNumberFormat="1" applyFont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right"/>
    </xf>
    <xf numFmtId="165" fontId="19" fillId="0" borderId="23" xfId="0" applyNumberFormat="1" applyFont="1" applyBorder="1" applyAlignment="1">
      <alignment horizontal="center" vertical="center"/>
    </xf>
    <xf numFmtId="0" fontId="3" fillId="0" borderId="19" xfId="0" applyFont="1" applyBorder="1"/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1" fontId="20" fillId="0" borderId="47" xfId="0" applyNumberFormat="1" applyFont="1" applyBorder="1" applyAlignment="1">
      <alignment horizontal="center"/>
    </xf>
    <xf numFmtId="2" fontId="13" fillId="0" borderId="35" xfId="0" applyNumberFormat="1" applyFont="1" applyFill="1" applyBorder="1" applyAlignment="1">
      <alignment horizontal="center"/>
    </xf>
    <xf numFmtId="2" fontId="10" fillId="0" borderId="68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1" fontId="20" fillId="0" borderId="33" xfId="0" applyNumberFormat="1" applyFont="1" applyBorder="1" applyAlignment="1">
      <alignment horizontal="center"/>
    </xf>
    <xf numFmtId="0" fontId="3" fillId="0" borderId="35" xfId="0" applyFont="1" applyBorder="1"/>
    <xf numFmtId="166" fontId="10" fillId="0" borderId="60" xfId="0" applyNumberFormat="1" applyFont="1" applyBorder="1" applyAlignment="1">
      <alignment horizontal="center"/>
    </xf>
    <xf numFmtId="1" fontId="20" fillId="0" borderId="49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65" fontId="42" fillId="2" borderId="15" xfId="0" applyNumberFormat="1" applyFont="1" applyFill="1" applyBorder="1" applyAlignment="1">
      <alignment horizontal="center"/>
    </xf>
    <xf numFmtId="0" fontId="12" fillId="0" borderId="45" xfId="0" applyFont="1" applyBorder="1" applyAlignment="1">
      <alignment horizontal="right"/>
    </xf>
    <xf numFmtId="0" fontId="3" fillId="0" borderId="73" xfId="0" applyFont="1" applyBorder="1" applyAlignment="1">
      <alignment vertical="center"/>
    </xf>
    <xf numFmtId="0" fontId="3" fillId="0" borderId="35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40" fillId="0" borderId="4" xfId="0" applyFont="1" applyBorder="1" applyAlignment="1">
      <alignment horizontal="right"/>
    </xf>
    <xf numFmtId="0" fontId="17" fillId="0" borderId="49" xfId="0" applyFont="1" applyBorder="1"/>
    <xf numFmtId="0" fontId="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12" fillId="0" borderId="56" xfId="0" applyFont="1" applyFill="1" applyBorder="1" applyAlignment="1">
      <alignment horizontal="center"/>
    </xf>
    <xf numFmtId="0" fontId="3" fillId="0" borderId="1" xfId="0" applyFont="1" applyFill="1" applyBorder="1"/>
    <xf numFmtId="0" fontId="12" fillId="0" borderId="2" xfId="0" applyFont="1" applyBorder="1" applyAlignment="1">
      <alignment horizontal="center"/>
    </xf>
    <xf numFmtId="0" fontId="3" fillId="0" borderId="15" xfId="0" applyFont="1" applyBorder="1"/>
    <xf numFmtId="166" fontId="10" fillId="0" borderId="1" xfId="0" applyNumberFormat="1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2" fontId="20" fillId="0" borderId="0" xfId="0" applyNumberFormat="1" applyFont="1" applyAlignment="1">
      <alignment horizontal="center"/>
    </xf>
    <xf numFmtId="9" fontId="20" fillId="0" borderId="0" xfId="0" applyNumberFormat="1" applyFont="1" applyAlignment="1">
      <alignment horizontal="center"/>
    </xf>
    <xf numFmtId="0" fontId="22" fillId="0" borderId="23" xfId="0" applyFont="1" applyBorder="1" applyAlignment="1">
      <alignment horizontal="center"/>
    </xf>
    <xf numFmtId="0" fontId="31" fillId="0" borderId="22" xfId="0" applyFont="1" applyBorder="1" applyAlignment="1">
      <alignment horizontal="center" vertical="center"/>
    </xf>
    <xf numFmtId="166" fontId="0" fillId="0" borderId="24" xfId="0" applyNumberFormat="1" applyBorder="1"/>
    <xf numFmtId="0" fontId="31" fillId="0" borderId="56" xfId="0" applyFont="1" applyBorder="1" applyAlignment="1">
      <alignment horizontal="center" vertical="center"/>
    </xf>
    <xf numFmtId="2" fontId="24" fillId="5" borderId="1" xfId="0" applyNumberFormat="1" applyFont="1" applyFill="1" applyBorder="1" applyAlignment="1">
      <alignment horizontal="center"/>
    </xf>
    <xf numFmtId="9" fontId="20" fillId="4" borderId="35" xfId="0" applyNumberFormat="1" applyFont="1" applyFill="1" applyBorder="1" applyAlignment="1">
      <alignment horizontal="center"/>
    </xf>
    <xf numFmtId="2" fontId="44" fillId="5" borderId="1" xfId="0" applyNumberFormat="1" applyFont="1" applyFill="1" applyBorder="1" applyAlignment="1">
      <alignment horizontal="center"/>
    </xf>
    <xf numFmtId="165" fontId="44" fillId="5" borderId="1" xfId="0" applyNumberFormat="1" applyFont="1" applyFill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8" fillId="0" borderId="67" xfId="0" applyFont="1" applyBorder="1" applyAlignment="1">
      <alignment horizontal="left"/>
    </xf>
    <xf numFmtId="0" fontId="0" fillId="0" borderId="69" xfId="0" applyBorder="1" applyAlignment="1">
      <alignment horizontal="left"/>
    </xf>
    <xf numFmtId="2" fontId="45" fillId="3" borderId="15" xfId="0" applyNumberFormat="1" applyFont="1" applyFill="1" applyBorder="1" applyAlignment="1">
      <alignment horizontal="center"/>
    </xf>
    <xf numFmtId="166" fontId="22" fillId="3" borderId="15" xfId="0" applyNumberFormat="1" applyFont="1" applyFill="1" applyBorder="1" applyAlignment="1">
      <alignment horizontal="center"/>
    </xf>
    <xf numFmtId="0" fontId="28" fillId="0" borderId="74" xfId="0" applyFont="1" applyBorder="1" applyAlignment="1">
      <alignment horizontal="left"/>
    </xf>
    <xf numFmtId="0" fontId="0" fillId="0" borderId="29" xfId="0" applyBorder="1"/>
    <xf numFmtId="0" fontId="10" fillId="0" borderId="22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10" fillId="0" borderId="53" xfId="0" applyFont="1" applyBorder="1" applyAlignment="1">
      <alignment horizontal="center"/>
    </xf>
    <xf numFmtId="1" fontId="50" fillId="0" borderId="22" xfId="0" applyNumberFormat="1" applyFont="1" applyBorder="1" applyAlignment="1">
      <alignment horizontal="center"/>
    </xf>
    <xf numFmtId="1" fontId="50" fillId="0" borderId="67" xfId="0" applyNumberFormat="1" applyFont="1" applyBorder="1" applyAlignment="1">
      <alignment horizontal="center"/>
    </xf>
    <xf numFmtId="164" fontId="10" fillId="0" borderId="59" xfId="0" applyNumberFormat="1" applyFont="1" applyBorder="1" applyAlignment="1">
      <alignment horizontal="right"/>
    </xf>
    <xf numFmtId="0" fontId="17" fillId="0" borderId="19" xfId="0" applyFont="1" applyBorder="1" applyAlignment="1">
      <alignment horizontal="left"/>
    </xf>
    <xf numFmtId="0" fontId="41" fillId="0" borderId="30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/>
    </xf>
    <xf numFmtId="166" fontId="7" fillId="0" borderId="23" xfId="0" applyNumberFormat="1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30" xfId="0" applyFont="1" applyBorder="1"/>
    <xf numFmtId="0" fontId="5" fillId="0" borderId="49" xfId="0" applyFont="1" applyBorder="1" applyAlignment="1">
      <alignment horizontal="center"/>
    </xf>
    <xf numFmtId="0" fontId="3" fillId="0" borderId="48" xfId="0" applyFont="1" applyBorder="1"/>
    <xf numFmtId="0" fontId="0" fillId="0" borderId="51" xfId="0" applyBorder="1"/>
    <xf numFmtId="0" fontId="10" fillId="0" borderId="26" xfId="0" applyFont="1" applyBorder="1" applyAlignment="1">
      <alignment horizontal="left"/>
    </xf>
    <xf numFmtId="0" fontId="5" fillId="0" borderId="56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52" fillId="2" borderId="33" xfId="0" applyNumberFormat="1" applyFont="1" applyFill="1" applyBorder="1" applyAlignment="1">
      <alignment horizontal="center"/>
    </xf>
    <xf numFmtId="1" fontId="33" fillId="0" borderId="60" xfId="0" applyNumberFormat="1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1" fontId="50" fillId="0" borderId="4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41" fillId="0" borderId="56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165" fontId="41" fillId="0" borderId="1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62" xfId="0" applyFont="1" applyBorder="1" applyAlignment="1">
      <alignment horizontal="right"/>
    </xf>
    <xf numFmtId="2" fontId="10" fillId="0" borderId="41" xfId="0" applyNumberFormat="1" applyFont="1" applyFill="1" applyBorder="1" applyAlignment="1">
      <alignment horizontal="center"/>
    </xf>
    <xf numFmtId="0" fontId="10" fillId="0" borderId="51" xfId="0" applyFont="1" applyBorder="1" applyAlignment="1">
      <alignment horizontal="right"/>
    </xf>
    <xf numFmtId="165" fontId="7" fillId="0" borderId="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" fontId="20" fillId="0" borderId="57" xfId="0" applyNumberFormat="1" applyFont="1" applyBorder="1" applyAlignment="1">
      <alignment horizontal="center"/>
    </xf>
    <xf numFmtId="0" fontId="14" fillId="2" borderId="34" xfId="0" applyFont="1" applyFill="1" applyBorder="1" applyAlignment="1">
      <alignment horizontal="left"/>
    </xf>
    <xf numFmtId="2" fontId="25" fillId="5" borderId="56" xfId="0" applyNumberFormat="1" applyFont="1" applyFill="1" applyBorder="1" applyAlignment="1">
      <alignment horizontal="center"/>
    </xf>
    <xf numFmtId="165" fontId="25" fillId="5" borderId="66" xfId="0" applyNumberFormat="1" applyFont="1" applyFill="1" applyBorder="1" applyAlignment="1">
      <alignment horizontal="center"/>
    </xf>
    <xf numFmtId="0" fontId="0" fillId="0" borderId="66" xfId="0" applyBorder="1"/>
    <xf numFmtId="1" fontId="20" fillId="0" borderId="66" xfId="0" applyNumberFormat="1" applyFont="1" applyBorder="1" applyAlignment="1">
      <alignment horizontal="center"/>
    </xf>
    <xf numFmtId="166" fontId="22" fillId="3" borderId="57" xfId="0" applyNumberFormat="1" applyFont="1" applyFill="1" applyBorder="1" applyAlignment="1">
      <alignment horizontal="center"/>
    </xf>
    <xf numFmtId="0" fontId="38" fillId="0" borderId="0" xfId="0" applyFont="1"/>
    <xf numFmtId="2" fontId="25" fillId="2" borderId="57" xfId="0" applyNumberFormat="1" applyFont="1" applyFill="1" applyBorder="1" applyAlignment="1">
      <alignment horizontal="center"/>
    </xf>
    <xf numFmtId="2" fontId="25" fillId="2" borderId="15" xfId="0" applyNumberFormat="1" applyFont="1" applyFill="1" applyBorder="1" applyAlignment="1">
      <alignment horizontal="center"/>
    </xf>
    <xf numFmtId="2" fontId="44" fillId="2" borderId="15" xfId="0" applyNumberFormat="1" applyFont="1" applyFill="1" applyBorder="1" applyAlignment="1">
      <alignment horizontal="center"/>
    </xf>
    <xf numFmtId="0" fontId="3" fillId="0" borderId="39" xfId="0" applyFont="1" applyBorder="1" applyAlignment="1">
      <alignment vertical="center"/>
    </xf>
    <xf numFmtId="0" fontId="10" fillId="0" borderId="4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2" fontId="13" fillId="0" borderId="43" xfId="0" applyNumberFormat="1" applyFont="1" applyBorder="1" applyAlignment="1">
      <alignment horizontal="center"/>
    </xf>
    <xf numFmtId="1" fontId="50" fillId="0" borderId="4" xfId="0" applyNumberFormat="1" applyFont="1" applyBorder="1" applyAlignment="1">
      <alignment horizontal="center"/>
    </xf>
    <xf numFmtId="1" fontId="50" fillId="0" borderId="73" xfId="0" applyNumberFormat="1" applyFont="1" applyBorder="1" applyAlignment="1">
      <alignment horizontal="center"/>
    </xf>
    <xf numFmtId="0" fontId="0" fillId="0" borderId="47" xfId="0" applyBorder="1"/>
    <xf numFmtId="0" fontId="12" fillId="0" borderId="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26" xfId="0" applyBorder="1" applyAlignment="1">
      <alignment horizontal="left"/>
    </xf>
    <xf numFmtId="1" fontId="50" fillId="0" borderId="59" xfId="0" applyNumberFormat="1" applyFont="1" applyBorder="1" applyAlignment="1">
      <alignment horizontal="center"/>
    </xf>
    <xf numFmtId="1" fontId="50" fillId="0" borderId="7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68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9" fontId="20" fillId="0" borderId="50" xfId="0" applyNumberFormat="1" applyFont="1" applyBorder="1" applyAlignment="1">
      <alignment horizontal="center"/>
    </xf>
    <xf numFmtId="9" fontId="20" fillId="4" borderId="1" xfId="0" applyNumberFormat="1" applyFont="1" applyFill="1" applyBorder="1" applyAlignment="1">
      <alignment horizontal="center"/>
    </xf>
    <xf numFmtId="165" fontId="25" fillId="5" borderId="1" xfId="0" applyNumberFormat="1" applyFont="1" applyFill="1" applyBorder="1" applyAlignment="1">
      <alignment horizontal="center"/>
    </xf>
    <xf numFmtId="2" fontId="20" fillId="0" borderId="0" xfId="0" applyNumberFormat="1" applyFont="1" applyBorder="1"/>
    <xf numFmtId="0" fontId="20" fillId="0" borderId="2" xfId="0" applyFont="1" applyBorder="1" applyAlignment="1">
      <alignment horizontal="right"/>
    </xf>
    <xf numFmtId="0" fontId="26" fillId="3" borderId="46" xfId="0" applyFont="1" applyFill="1" applyBorder="1" applyAlignment="1">
      <alignment horizontal="right"/>
    </xf>
    <xf numFmtId="2" fontId="13" fillId="0" borderId="15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 vertical="center"/>
    </xf>
    <xf numFmtId="0" fontId="3" fillId="0" borderId="65" xfId="0" applyFont="1" applyFill="1" applyBorder="1"/>
    <xf numFmtId="0" fontId="3" fillId="0" borderId="72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2" fontId="7" fillId="0" borderId="22" xfId="0" applyNumberFormat="1" applyFont="1" applyBorder="1" applyAlignment="1">
      <alignment horizontal="center" vertical="center"/>
    </xf>
    <xf numFmtId="166" fontId="7" fillId="0" borderId="23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left"/>
    </xf>
    <xf numFmtId="0" fontId="29" fillId="0" borderId="27" xfId="0" applyFont="1" applyBorder="1" applyAlignment="1">
      <alignment horizontal="left"/>
    </xf>
    <xf numFmtId="2" fontId="10" fillId="0" borderId="1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3" fillId="0" borderId="3" xfId="0" applyFont="1" applyFill="1" applyBorder="1"/>
    <xf numFmtId="166" fontId="12" fillId="0" borderId="68" xfId="0" applyNumberFormat="1" applyFont="1" applyFill="1" applyBorder="1" applyAlignment="1">
      <alignment horizontal="center"/>
    </xf>
    <xf numFmtId="166" fontId="10" fillId="0" borderId="5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166" fontId="31" fillId="0" borderId="23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2" fontId="25" fillId="6" borderId="56" xfId="0" applyNumberFormat="1" applyFont="1" applyFill="1" applyBorder="1" applyAlignment="1">
      <alignment horizontal="center"/>
    </xf>
    <xf numFmtId="2" fontId="25" fillId="6" borderId="1" xfId="0" applyNumberFormat="1" applyFont="1" applyFill="1" applyBorder="1" applyAlignment="1">
      <alignment horizontal="center"/>
    </xf>
    <xf numFmtId="2" fontId="25" fillId="6" borderId="66" xfId="0" applyNumberFormat="1" applyFont="1" applyFill="1" applyBorder="1" applyAlignment="1">
      <alignment horizontal="center"/>
    </xf>
    <xf numFmtId="165" fontId="22" fillId="3" borderId="57" xfId="0" applyNumberFormat="1" applyFont="1" applyFill="1" applyBorder="1" applyAlignment="1">
      <alignment horizontal="center"/>
    </xf>
    <xf numFmtId="165" fontId="22" fillId="3" borderId="15" xfId="0" applyNumberFormat="1" applyFont="1" applyFill="1" applyBorder="1" applyAlignment="1">
      <alignment horizontal="center"/>
    </xf>
    <xf numFmtId="0" fontId="3" fillId="0" borderId="26" xfId="0" applyFont="1" applyFill="1" applyBorder="1"/>
    <xf numFmtId="0" fontId="28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9" fillId="0" borderId="0" xfId="0" applyFont="1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1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" fontId="52" fillId="2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right"/>
    </xf>
    <xf numFmtId="2" fontId="25" fillId="2" borderId="0" xfId="0" applyNumberFormat="1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center"/>
    </xf>
    <xf numFmtId="165" fontId="25" fillId="2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0" fontId="0" fillId="0" borderId="51" xfId="0" applyBorder="1" applyAlignment="1">
      <alignment horizontal="left"/>
    </xf>
    <xf numFmtId="0" fontId="3" fillId="0" borderId="11" xfId="0" applyFont="1" applyBorder="1"/>
    <xf numFmtId="0" fontId="3" fillId="0" borderId="14" xfId="0" applyFont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165" fontId="15" fillId="0" borderId="38" xfId="0" applyNumberFormat="1" applyFont="1" applyBorder="1" applyAlignment="1">
      <alignment horizontal="left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workbookViewId="0">
      <selection activeCell="K10" sqref="K10"/>
    </sheetView>
  </sheetViews>
  <sheetFormatPr defaultRowHeight="15" x14ac:dyDescent="0.25"/>
  <sheetData>
    <row r="1" spans="1:9" x14ac:dyDescent="0.25">
      <c r="B1" s="1" t="s">
        <v>0</v>
      </c>
      <c r="C1" s="2"/>
      <c r="F1" s="3"/>
      <c r="G1" s="2"/>
      <c r="H1" s="4"/>
      <c r="I1" s="5"/>
    </row>
    <row r="2" spans="1:9" x14ac:dyDescent="0.25">
      <c r="A2" s="2"/>
      <c r="B2" s="2"/>
      <c r="C2" s="6"/>
      <c r="D2" s="7" t="s">
        <v>1</v>
      </c>
      <c r="I2" s="8">
        <v>0.5</v>
      </c>
    </row>
    <row r="3" spans="1:9" ht="16.5" thickBot="1" x14ac:dyDescent="0.3">
      <c r="A3" s="9" t="s">
        <v>161</v>
      </c>
      <c r="B3" s="4"/>
      <c r="E3" s="3"/>
      <c r="F3" s="9" t="s">
        <v>2</v>
      </c>
      <c r="G3" t="s">
        <v>3</v>
      </c>
      <c r="H3" s="10"/>
      <c r="I3" s="10"/>
    </row>
    <row r="4" spans="1:9" ht="15.75" thickBot="1" x14ac:dyDescent="0.3">
      <c r="A4" s="11" t="s">
        <v>4</v>
      </c>
      <c r="B4" s="12"/>
      <c r="C4" s="13" t="s">
        <v>5</v>
      </c>
      <c r="D4" s="14" t="s">
        <v>6</v>
      </c>
      <c r="E4" s="14"/>
      <c r="F4" s="14"/>
      <c r="G4" s="15" t="s">
        <v>7</v>
      </c>
      <c r="H4" s="16" t="s">
        <v>8</v>
      </c>
      <c r="I4" s="17" t="s">
        <v>9</v>
      </c>
    </row>
    <row r="5" spans="1:9" x14ac:dyDescent="0.25">
      <c r="A5" s="18" t="s">
        <v>10</v>
      </c>
      <c r="B5" s="19" t="s">
        <v>11</v>
      </c>
      <c r="C5" s="20" t="s">
        <v>12</v>
      </c>
      <c r="D5" s="21" t="s">
        <v>13</v>
      </c>
      <c r="E5" s="21" t="s">
        <v>14</v>
      </c>
      <c r="F5" s="21" t="s">
        <v>15</v>
      </c>
      <c r="G5" s="22" t="s">
        <v>16</v>
      </c>
      <c r="H5" s="23" t="s">
        <v>17</v>
      </c>
      <c r="I5" s="24" t="s">
        <v>18</v>
      </c>
    </row>
    <row r="6" spans="1:9" ht="15.75" thickBot="1" x14ac:dyDescent="0.3">
      <c r="A6" s="25"/>
      <c r="B6" s="26"/>
      <c r="C6" s="27"/>
      <c r="D6" s="28" t="s">
        <v>19</v>
      </c>
      <c r="E6" s="28" t="s">
        <v>20</v>
      </c>
      <c r="F6" s="28" t="s">
        <v>21</v>
      </c>
      <c r="G6" s="29" t="s">
        <v>22</v>
      </c>
      <c r="H6" s="30" t="s">
        <v>23</v>
      </c>
      <c r="I6" s="31" t="s">
        <v>24</v>
      </c>
    </row>
    <row r="7" spans="1:9" x14ac:dyDescent="0.25">
      <c r="A7" s="12"/>
      <c r="B7" s="32" t="s">
        <v>25</v>
      </c>
      <c r="C7" s="33"/>
      <c r="D7" s="34"/>
      <c r="E7" s="35"/>
      <c r="F7" s="35"/>
      <c r="G7" s="36"/>
      <c r="H7" s="37"/>
      <c r="I7" s="38"/>
    </row>
    <row r="8" spans="1:9" x14ac:dyDescent="0.25">
      <c r="A8" s="39" t="s">
        <v>26</v>
      </c>
      <c r="B8" s="40" t="s">
        <v>27</v>
      </c>
      <c r="C8" s="41">
        <v>200</v>
      </c>
      <c r="D8" s="42">
        <v>4.8499999999999996</v>
      </c>
      <c r="E8" s="43">
        <v>10.210000000000001</v>
      </c>
      <c r="F8" s="43">
        <v>38.173999999999999</v>
      </c>
      <c r="G8" s="44">
        <f>F8*4+E8*9+D8*4</f>
        <v>263.98599999999999</v>
      </c>
      <c r="H8" s="45">
        <v>1</v>
      </c>
      <c r="I8" s="46" t="s">
        <v>28</v>
      </c>
    </row>
    <row r="9" spans="1:9" x14ac:dyDescent="0.25">
      <c r="A9" s="47" t="s">
        <v>29</v>
      </c>
      <c r="B9" s="40" t="s">
        <v>30</v>
      </c>
      <c r="C9" s="41">
        <v>200</v>
      </c>
      <c r="D9" s="42">
        <v>3.6</v>
      </c>
      <c r="E9" s="43">
        <v>2.67</v>
      </c>
      <c r="F9" s="43">
        <v>19.600000000000001</v>
      </c>
      <c r="G9" s="44">
        <f>F9*4+E9*9+D9*4</f>
        <v>116.83000000000001</v>
      </c>
      <c r="H9" s="48">
        <v>52</v>
      </c>
      <c r="I9" s="49" t="s">
        <v>31</v>
      </c>
    </row>
    <row r="10" spans="1:9" ht="15.75" x14ac:dyDescent="0.25">
      <c r="A10" s="50" t="s">
        <v>32</v>
      </c>
      <c r="B10" s="51" t="s">
        <v>33</v>
      </c>
      <c r="C10" s="41">
        <v>30</v>
      </c>
      <c r="D10" s="42">
        <v>1.53</v>
      </c>
      <c r="E10" s="43">
        <v>0.255</v>
      </c>
      <c r="F10" s="43">
        <v>15.276999999999999</v>
      </c>
      <c r="G10" s="44">
        <f>F10*4+E10*9+D10*4</f>
        <v>69.522999999999996</v>
      </c>
      <c r="H10" s="52">
        <v>45</v>
      </c>
      <c r="I10" s="53" t="s">
        <v>34</v>
      </c>
    </row>
    <row r="11" spans="1:9" x14ac:dyDescent="0.25">
      <c r="A11" s="54" t="s">
        <v>35</v>
      </c>
      <c r="B11" s="55" t="s">
        <v>36</v>
      </c>
      <c r="C11" s="56">
        <v>20</v>
      </c>
      <c r="D11" s="57">
        <v>1.1299999999999999</v>
      </c>
      <c r="E11" s="58">
        <v>0.24</v>
      </c>
      <c r="F11" s="58">
        <v>9.0370000000000008</v>
      </c>
      <c r="G11" s="59">
        <f>F11*4+E11*9+D11*4</f>
        <v>42.828000000000003</v>
      </c>
      <c r="H11" s="60">
        <v>46</v>
      </c>
      <c r="I11" s="49" t="s">
        <v>34</v>
      </c>
    </row>
    <row r="12" spans="1:9" ht="15.75" thickBot="1" x14ac:dyDescent="0.3">
      <c r="A12" s="54"/>
      <c r="B12" s="61" t="s">
        <v>37</v>
      </c>
      <c r="C12" s="62">
        <v>130</v>
      </c>
      <c r="D12" s="63">
        <v>0.52</v>
      </c>
      <c r="E12" s="64">
        <v>0.52</v>
      </c>
      <c r="F12" s="65">
        <v>12.74</v>
      </c>
      <c r="G12" s="66">
        <f>F12*4+E12*9+D12*4</f>
        <v>57.72</v>
      </c>
      <c r="H12" s="67"/>
      <c r="I12" s="68" t="s">
        <v>38</v>
      </c>
    </row>
    <row r="13" spans="1:9" x14ac:dyDescent="0.25">
      <c r="A13" s="69" t="s">
        <v>39</v>
      </c>
      <c r="C13" s="70"/>
      <c r="D13" s="71">
        <f>SUM(D8:D12)</f>
        <v>11.629999999999999</v>
      </c>
      <c r="E13" s="72">
        <f>SUM(E8:E12)</f>
        <v>13.895000000000001</v>
      </c>
      <c r="F13" s="73">
        <f>SUM(F8:F12)</f>
        <v>94.828000000000003</v>
      </c>
      <c r="G13" s="74">
        <f>SUM(G8:G12)</f>
        <v>550.88700000000006</v>
      </c>
      <c r="H13" s="75" t="s">
        <v>40</v>
      </c>
      <c r="I13" s="76"/>
    </row>
    <row r="14" spans="1:9" ht="15.75" thickBot="1" x14ac:dyDescent="0.3">
      <c r="A14" s="77"/>
      <c r="C14" s="3"/>
      <c r="D14" s="78"/>
      <c r="E14" s="79"/>
      <c r="F14" s="80"/>
      <c r="G14" s="81"/>
      <c r="H14" s="82" t="s">
        <v>41</v>
      </c>
      <c r="I14" s="83">
        <f>C9+C10+C11+C12+C8</f>
        <v>580</v>
      </c>
    </row>
    <row r="15" spans="1:9" x14ac:dyDescent="0.25">
      <c r="A15" s="77"/>
      <c r="B15" s="32" t="s">
        <v>42</v>
      </c>
      <c r="C15" s="12"/>
      <c r="D15" s="84"/>
      <c r="E15" s="85"/>
      <c r="F15" s="85"/>
      <c r="G15" s="86"/>
      <c r="H15" s="87"/>
      <c r="I15" s="87"/>
    </row>
    <row r="16" spans="1:9" x14ac:dyDescent="0.25">
      <c r="A16" s="77"/>
      <c r="B16" s="88" t="s">
        <v>43</v>
      </c>
      <c r="C16" s="89">
        <v>200</v>
      </c>
      <c r="D16" s="42">
        <v>2.2999999999999998</v>
      </c>
      <c r="E16" s="43">
        <v>4.048</v>
      </c>
      <c r="F16" s="43">
        <v>14.53</v>
      </c>
      <c r="G16" s="44">
        <f t="shared" ref="G16" si="0">F16*4+E16*9+D16*4</f>
        <v>103.752</v>
      </c>
      <c r="H16" s="45">
        <v>8</v>
      </c>
      <c r="I16" s="46" t="s">
        <v>44</v>
      </c>
    </row>
    <row r="17" spans="1:9" x14ac:dyDescent="0.25">
      <c r="A17" s="77"/>
      <c r="B17" s="90" t="s">
        <v>45</v>
      </c>
      <c r="C17" s="41">
        <v>150</v>
      </c>
      <c r="D17" s="91">
        <v>1.825</v>
      </c>
      <c r="E17" s="92">
        <v>2.5099999999999998</v>
      </c>
      <c r="F17" s="93">
        <v>17.334</v>
      </c>
      <c r="G17" s="44">
        <f>F17*4+E17*9+D17*4</f>
        <v>99.225999999999985</v>
      </c>
      <c r="H17" s="45">
        <v>35</v>
      </c>
      <c r="I17" s="53" t="s">
        <v>46</v>
      </c>
    </row>
    <row r="18" spans="1:9" x14ac:dyDescent="0.25">
      <c r="A18" s="77"/>
      <c r="B18" s="94" t="s">
        <v>47</v>
      </c>
      <c r="C18" s="89" t="s">
        <v>162</v>
      </c>
      <c r="D18" s="95">
        <v>10</v>
      </c>
      <c r="E18" s="96">
        <v>10.092000000000001</v>
      </c>
      <c r="F18" s="97">
        <v>9.4550000000000001</v>
      </c>
      <c r="G18" s="98">
        <f>F18*4+E18*9+D18*4</f>
        <v>168.648</v>
      </c>
      <c r="H18" s="99">
        <v>19</v>
      </c>
      <c r="I18" s="100" t="s">
        <v>49</v>
      </c>
    </row>
    <row r="19" spans="1:9" x14ac:dyDescent="0.25">
      <c r="A19" s="77"/>
      <c r="B19" s="51" t="s">
        <v>50</v>
      </c>
      <c r="C19" s="41">
        <v>200</v>
      </c>
      <c r="D19" s="42">
        <v>1</v>
      </c>
      <c r="E19" s="43">
        <v>0</v>
      </c>
      <c r="F19" s="43">
        <v>20.92</v>
      </c>
      <c r="G19" s="44">
        <f t="shared" ref="G19" si="1">F19*4+E19*9+D19*4</f>
        <v>87.68</v>
      </c>
      <c r="H19" s="99">
        <v>49</v>
      </c>
      <c r="I19" s="53" t="s">
        <v>51</v>
      </c>
    </row>
    <row r="20" spans="1:9" x14ac:dyDescent="0.25">
      <c r="A20" s="77"/>
      <c r="B20" s="51" t="s">
        <v>33</v>
      </c>
      <c r="C20" s="41">
        <v>30</v>
      </c>
      <c r="D20" s="42">
        <v>1.53</v>
      </c>
      <c r="E20" s="43">
        <v>0.255</v>
      </c>
      <c r="F20" s="43">
        <v>15.276999999999999</v>
      </c>
      <c r="G20" s="44">
        <f>F20*4+E20*9+D20*4</f>
        <v>69.522999999999996</v>
      </c>
      <c r="H20" s="52">
        <v>45</v>
      </c>
      <c r="I20" s="53" t="s">
        <v>34</v>
      </c>
    </row>
    <row r="21" spans="1:9" ht="15.75" thickBot="1" x14ac:dyDescent="0.3">
      <c r="A21" s="77"/>
      <c r="B21" s="55" t="s">
        <v>52</v>
      </c>
      <c r="C21" s="56">
        <v>30</v>
      </c>
      <c r="D21" s="57">
        <v>1.6950000000000001</v>
      </c>
      <c r="E21" s="58">
        <v>0.36</v>
      </c>
      <c r="F21" s="58">
        <v>13.555999999999999</v>
      </c>
      <c r="G21" s="59">
        <f>F21*4+E21*9+D21*4</f>
        <v>64.244</v>
      </c>
      <c r="H21" s="99">
        <v>46</v>
      </c>
      <c r="I21" s="53" t="s">
        <v>34</v>
      </c>
    </row>
    <row r="22" spans="1:9" ht="15.75" thickBot="1" x14ac:dyDescent="0.3">
      <c r="A22" s="101" t="s">
        <v>53</v>
      </c>
      <c r="B22" s="102"/>
      <c r="C22" s="103"/>
      <c r="D22" s="104">
        <f>SUM(D16:D21)</f>
        <v>18.350000000000001</v>
      </c>
      <c r="E22" s="72">
        <f>SUM(E16:E21)</f>
        <v>17.264999999999997</v>
      </c>
      <c r="F22" s="105">
        <f>SUM(F16:F21)</f>
        <v>91.071999999999989</v>
      </c>
      <c r="G22" s="106">
        <f>SUM(G16:G21)</f>
        <v>593.07299999999998</v>
      </c>
      <c r="H22" s="107" t="s">
        <v>40</v>
      </c>
      <c r="I22" s="76"/>
    </row>
    <row r="23" spans="1:9" ht="15.75" thickBot="1" x14ac:dyDescent="0.3">
      <c r="A23" s="108"/>
      <c r="B23" s="102" t="s">
        <v>54</v>
      </c>
      <c r="C23" s="109"/>
      <c r="D23" s="110">
        <f>D13+D22</f>
        <v>29.98</v>
      </c>
      <c r="E23" s="111">
        <f t="shared" ref="E23:G23" si="2">E13+E22</f>
        <v>31.159999999999997</v>
      </c>
      <c r="F23" s="111">
        <f t="shared" si="2"/>
        <v>185.89999999999998</v>
      </c>
      <c r="G23" s="112">
        <f t="shared" si="2"/>
        <v>1143.96</v>
      </c>
      <c r="H23" s="113" t="s">
        <v>55</v>
      </c>
      <c r="I23" s="114">
        <f>C16+C17+C19+C20+C21+50+50</f>
        <v>710</v>
      </c>
    </row>
    <row r="24" spans="1:9" ht="15.75" thickBot="1" x14ac:dyDescent="0.3">
      <c r="A24" s="115"/>
      <c r="B24" s="116" t="s">
        <v>56</v>
      </c>
      <c r="C24" s="117"/>
      <c r="D24" s="118">
        <v>38.5</v>
      </c>
      <c r="E24" s="119">
        <v>39.5</v>
      </c>
      <c r="F24" s="120">
        <v>167.5</v>
      </c>
      <c r="G24" s="121">
        <v>1175</v>
      </c>
      <c r="H24" s="82" t="s">
        <v>57</v>
      </c>
      <c r="I24" s="122"/>
    </row>
    <row r="25" spans="1:9" x14ac:dyDescent="0.25">
      <c r="C25" s="3"/>
      <c r="D25" s="3"/>
      <c r="E25" s="3"/>
      <c r="F25" s="3"/>
      <c r="G25" s="3"/>
      <c r="H25" s="3"/>
      <c r="I25" s="3"/>
    </row>
    <row r="26" spans="1:9" x14ac:dyDescent="0.25">
      <c r="C26" s="3"/>
      <c r="D26" s="3"/>
      <c r="E26" s="3"/>
      <c r="F26" s="3"/>
      <c r="G26" s="3"/>
      <c r="H26" s="3"/>
      <c r="I26" s="3"/>
    </row>
    <row r="27" spans="1:9" ht="15.75" thickBot="1" x14ac:dyDescent="0.3">
      <c r="C27" s="3"/>
      <c r="D27" s="3"/>
      <c r="E27" s="3"/>
      <c r="F27" s="3"/>
      <c r="G27" s="3"/>
      <c r="H27" s="3"/>
      <c r="I27" s="3"/>
    </row>
    <row r="28" spans="1:9" ht="15.75" thickBot="1" x14ac:dyDescent="0.3">
      <c r="A28" s="11" t="s">
        <v>4</v>
      </c>
      <c r="B28" s="12"/>
      <c r="C28" s="13" t="s">
        <v>5</v>
      </c>
      <c r="D28" s="14" t="s">
        <v>6</v>
      </c>
      <c r="E28" s="14"/>
      <c r="F28" s="14"/>
      <c r="G28" s="15" t="s">
        <v>7</v>
      </c>
      <c r="H28" s="16" t="s">
        <v>8</v>
      </c>
      <c r="I28" s="17" t="s">
        <v>9</v>
      </c>
    </row>
    <row r="29" spans="1:9" x14ac:dyDescent="0.25">
      <c r="A29" s="18" t="s">
        <v>10</v>
      </c>
      <c r="B29" s="19" t="s">
        <v>11</v>
      </c>
      <c r="C29" s="20" t="s">
        <v>12</v>
      </c>
      <c r="D29" s="21" t="s">
        <v>13</v>
      </c>
      <c r="E29" s="21" t="s">
        <v>14</v>
      </c>
      <c r="F29" s="21" t="s">
        <v>15</v>
      </c>
      <c r="G29" s="22" t="s">
        <v>16</v>
      </c>
      <c r="H29" s="23" t="s">
        <v>17</v>
      </c>
      <c r="I29" s="24" t="s">
        <v>18</v>
      </c>
    </row>
    <row r="30" spans="1:9" ht="15.75" thickBot="1" x14ac:dyDescent="0.3">
      <c r="A30" s="25"/>
      <c r="B30" s="26"/>
      <c r="C30" s="27"/>
      <c r="D30" s="28" t="s">
        <v>19</v>
      </c>
      <c r="E30" s="28" t="s">
        <v>20</v>
      </c>
      <c r="F30" s="28" t="s">
        <v>21</v>
      </c>
      <c r="G30" s="29" t="s">
        <v>22</v>
      </c>
      <c r="H30" s="30" t="s">
        <v>23</v>
      </c>
      <c r="I30" s="31" t="s">
        <v>24</v>
      </c>
    </row>
    <row r="31" spans="1:9" x14ac:dyDescent="0.25">
      <c r="A31" s="12"/>
      <c r="B31" s="32" t="s">
        <v>25</v>
      </c>
      <c r="C31" s="33"/>
      <c r="D31" s="34"/>
      <c r="E31" s="35"/>
      <c r="F31" s="35"/>
      <c r="G31" s="36"/>
      <c r="H31" s="123"/>
      <c r="I31" s="38"/>
    </row>
    <row r="32" spans="1:9" x14ac:dyDescent="0.25">
      <c r="A32" s="39" t="s">
        <v>26</v>
      </c>
      <c r="B32" s="124" t="s">
        <v>58</v>
      </c>
      <c r="C32" s="56">
        <v>190</v>
      </c>
      <c r="D32" s="125">
        <v>15.023999999999999</v>
      </c>
      <c r="E32" s="126">
        <v>31.449000000000002</v>
      </c>
      <c r="F32" s="127">
        <v>3.3420000000000001</v>
      </c>
      <c r="G32" s="128">
        <f t="shared" ref="G32" si="3">F32*4+E32*9+D32*4</f>
        <v>356.505</v>
      </c>
      <c r="H32" s="129">
        <v>41</v>
      </c>
      <c r="I32" s="49" t="s">
        <v>59</v>
      </c>
    </row>
    <row r="33" spans="1:9" x14ac:dyDescent="0.25">
      <c r="A33" s="47" t="s">
        <v>29</v>
      </c>
      <c r="B33" s="51" t="s">
        <v>60</v>
      </c>
      <c r="C33" s="41">
        <v>200</v>
      </c>
      <c r="D33" s="42">
        <v>7.0000000000000007E-2</v>
      </c>
      <c r="E33" s="43">
        <v>0.02</v>
      </c>
      <c r="F33" s="43">
        <v>15</v>
      </c>
      <c r="G33" s="130">
        <f>F33*4+E33*9+D33*4</f>
        <v>60.46</v>
      </c>
      <c r="H33" s="131">
        <v>54</v>
      </c>
      <c r="I33" s="53" t="s">
        <v>61</v>
      </c>
    </row>
    <row r="34" spans="1:9" ht="15.75" x14ac:dyDescent="0.25">
      <c r="A34" s="50" t="s">
        <v>32</v>
      </c>
      <c r="B34" s="51" t="s">
        <v>33</v>
      </c>
      <c r="C34" s="41">
        <v>30</v>
      </c>
      <c r="D34" s="42">
        <v>1.53</v>
      </c>
      <c r="E34" s="43">
        <v>0.255</v>
      </c>
      <c r="F34" s="43">
        <v>15.276999999999999</v>
      </c>
      <c r="G34" s="130">
        <f>F34*4+E34*9+D34*4</f>
        <v>69.522999999999996</v>
      </c>
      <c r="H34" s="52">
        <v>45</v>
      </c>
      <c r="I34" s="53" t="s">
        <v>34</v>
      </c>
    </row>
    <row r="35" spans="1:9" x14ac:dyDescent="0.25">
      <c r="A35" s="54" t="s">
        <v>62</v>
      </c>
      <c r="B35" s="55" t="s">
        <v>36</v>
      </c>
      <c r="C35" s="56">
        <v>20</v>
      </c>
      <c r="D35" s="57">
        <v>1.1299999999999999</v>
      </c>
      <c r="E35" s="58">
        <v>0.24</v>
      </c>
      <c r="F35" s="58">
        <v>9.0370000000000008</v>
      </c>
      <c r="G35" s="59">
        <f>F35*4+E35*9+D35*4</f>
        <v>42.828000000000003</v>
      </c>
      <c r="H35" s="99">
        <v>46</v>
      </c>
      <c r="I35" s="49" t="s">
        <v>34</v>
      </c>
    </row>
    <row r="36" spans="1:9" ht="15.75" thickBot="1" x14ac:dyDescent="0.3">
      <c r="A36" s="54"/>
      <c r="B36" s="132" t="s">
        <v>37</v>
      </c>
      <c r="C36" s="62">
        <v>120</v>
      </c>
      <c r="D36" s="63">
        <v>0.48</v>
      </c>
      <c r="E36" s="64">
        <v>0.48</v>
      </c>
      <c r="F36" s="65">
        <v>11.76</v>
      </c>
      <c r="G36" s="66">
        <f>F36*4+E36*9+D36*4</f>
        <v>53.28</v>
      </c>
      <c r="H36" s="67">
        <v>48</v>
      </c>
      <c r="I36" s="68" t="s">
        <v>38</v>
      </c>
    </row>
    <row r="37" spans="1:9" x14ac:dyDescent="0.25">
      <c r="A37" s="69" t="s">
        <v>39</v>
      </c>
      <c r="C37" s="70"/>
      <c r="D37" s="71">
        <f>SUM(D32:D36)</f>
        <v>18.233999999999998</v>
      </c>
      <c r="E37" s="72">
        <f>SUM(E32:E36)</f>
        <v>32.443999999999996</v>
      </c>
      <c r="F37" s="73">
        <f>SUM(F32:F36)</f>
        <v>54.415999999999997</v>
      </c>
      <c r="G37" s="74">
        <f>SUM(G32:G36)</f>
        <v>582.59599999999989</v>
      </c>
      <c r="H37" s="75" t="s">
        <v>40</v>
      </c>
      <c r="I37" s="76"/>
    </row>
    <row r="38" spans="1:9" ht="15.75" thickBot="1" x14ac:dyDescent="0.3">
      <c r="A38" s="77"/>
      <c r="C38" s="3"/>
      <c r="D38" s="78"/>
      <c r="E38" s="79"/>
      <c r="F38" s="80"/>
      <c r="G38" s="81"/>
      <c r="H38" s="82" t="s">
        <v>41</v>
      </c>
      <c r="I38" s="83">
        <f>C32+C34+C35+C36+210</f>
        <v>570</v>
      </c>
    </row>
    <row r="39" spans="1:9" x14ac:dyDescent="0.25">
      <c r="A39" s="77"/>
      <c r="B39" s="133" t="s">
        <v>42</v>
      </c>
      <c r="C39" s="12"/>
      <c r="D39" s="134"/>
      <c r="E39" s="135"/>
      <c r="F39" s="135"/>
      <c r="G39" s="135"/>
      <c r="H39" s="87"/>
      <c r="I39" s="87"/>
    </row>
    <row r="40" spans="1:9" x14ac:dyDescent="0.25">
      <c r="A40" s="77"/>
      <c r="B40" s="136" t="s">
        <v>163</v>
      </c>
      <c r="C40" s="137">
        <v>250</v>
      </c>
      <c r="D40" s="138">
        <v>5.9669999999999996</v>
      </c>
      <c r="E40" s="139">
        <v>2.9420000000000002</v>
      </c>
      <c r="F40" s="138">
        <v>8.75</v>
      </c>
      <c r="G40" s="140">
        <f t="shared" ref="G40" si="4">F40*4+E40*9+D40*4</f>
        <v>85.346000000000004</v>
      </c>
      <c r="H40" s="141">
        <v>9</v>
      </c>
      <c r="I40" s="49" t="s">
        <v>63</v>
      </c>
    </row>
    <row r="41" spans="1:9" x14ac:dyDescent="0.25">
      <c r="A41" s="77"/>
      <c r="B41" s="142" t="s">
        <v>164</v>
      </c>
      <c r="C41" s="143"/>
      <c r="D41" s="144"/>
      <c r="E41" s="145"/>
      <c r="F41" s="144"/>
      <c r="G41" s="146"/>
      <c r="H41" s="147"/>
      <c r="I41" s="143"/>
    </row>
    <row r="42" spans="1:9" x14ac:dyDescent="0.25">
      <c r="A42" s="77"/>
      <c r="B42" s="90" t="s">
        <v>64</v>
      </c>
      <c r="C42" s="148" t="s">
        <v>165</v>
      </c>
      <c r="D42" s="149">
        <v>8.2669999999999995</v>
      </c>
      <c r="E42" s="96">
        <v>6.3642000000000003</v>
      </c>
      <c r="F42" s="96">
        <v>10.653</v>
      </c>
      <c r="G42" s="150">
        <f t="shared" ref="G42:G47" si="5">F42*4+E42*9+D42*4</f>
        <v>132.95780000000002</v>
      </c>
      <c r="H42" s="151">
        <v>29</v>
      </c>
      <c r="I42" s="53" t="s">
        <v>65</v>
      </c>
    </row>
    <row r="43" spans="1:9" x14ac:dyDescent="0.25">
      <c r="A43" s="77"/>
      <c r="B43" s="152" t="s">
        <v>66</v>
      </c>
      <c r="C43" s="56" t="s">
        <v>166</v>
      </c>
      <c r="D43" s="127">
        <v>2.274</v>
      </c>
      <c r="E43" s="126">
        <v>6.7160000000000002</v>
      </c>
      <c r="F43" s="127">
        <v>13.99</v>
      </c>
      <c r="G43" s="140">
        <f t="shared" si="5"/>
        <v>125.5</v>
      </c>
      <c r="H43" s="153">
        <v>31</v>
      </c>
      <c r="I43" s="49" t="s">
        <v>67</v>
      </c>
    </row>
    <row r="44" spans="1:9" x14ac:dyDescent="0.25">
      <c r="A44" s="77"/>
      <c r="B44" s="154" t="s">
        <v>68</v>
      </c>
      <c r="C44" s="155"/>
      <c r="D44" s="156">
        <v>1.8580000000000001</v>
      </c>
      <c r="E44" s="96">
        <v>2.1320000000000001</v>
      </c>
      <c r="F44" s="97">
        <v>3.4319999999999999</v>
      </c>
      <c r="G44" s="150">
        <f t="shared" si="5"/>
        <v>40.348000000000006</v>
      </c>
      <c r="H44" s="157"/>
      <c r="I44" s="100" t="s">
        <v>69</v>
      </c>
    </row>
    <row r="45" spans="1:9" x14ac:dyDescent="0.25">
      <c r="A45" s="77"/>
      <c r="B45" s="90" t="s">
        <v>70</v>
      </c>
      <c r="C45" s="41">
        <v>200</v>
      </c>
      <c r="D45" s="158">
        <v>0.66200000000000003</v>
      </c>
      <c r="E45" s="43">
        <v>0.09</v>
      </c>
      <c r="F45" s="43">
        <v>29.393999999999998</v>
      </c>
      <c r="G45" s="159">
        <f t="shared" si="5"/>
        <v>121.03399999999999</v>
      </c>
      <c r="H45" s="160">
        <v>50</v>
      </c>
      <c r="I45" s="53" t="s">
        <v>71</v>
      </c>
    </row>
    <row r="46" spans="1:9" x14ac:dyDescent="0.25">
      <c r="A46" s="77"/>
      <c r="B46" s="90" t="s">
        <v>33</v>
      </c>
      <c r="C46" s="41">
        <v>30</v>
      </c>
      <c r="D46" s="42">
        <v>1.53</v>
      </c>
      <c r="E46" s="43">
        <v>0.255</v>
      </c>
      <c r="F46" s="43">
        <v>15.276999999999999</v>
      </c>
      <c r="G46" s="159">
        <f>F46*4+E46*9+D46*4</f>
        <v>69.522999999999996</v>
      </c>
      <c r="H46" s="151">
        <v>45</v>
      </c>
      <c r="I46" s="53" t="s">
        <v>34</v>
      </c>
    </row>
    <row r="47" spans="1:9" ht="15.75" thickBot="1" x14ac:dyDescent="0.3">
      <c r="A47" s="161"/>
      <c r="B47" s="132" t="s">
        <v>52</v>
      </c>
      <c r="C47" s="62">
        <v>30</v>
      </c>
      <c r="D47" s="162">
        <v>1.6950000000000001</v>
      </c>
      <c r="E47" s="65">
        <v>0.36</v>
      </c>
      <c r="F47" s="65">
        <v>13.555999999999999</v>
      </c>
      <c r="G47" s="163">
        <f t="shared" si="5"/>
        <v>64.244</v>
      </c>
      <c r="H47" s="164">
        <v>46</v>
      </c>
      <c r="I47" s="165" t="s">
        <v>34</v>
      </c>
    </row>
    <row r="48" spans="1:9" ht="15.75" thickBot="1" x14ac:dyDescent="0.3">
      <c r="A48" s="101" t="s">
        <v>53</v>
      </c>
      <c r="B48" s="102"/>
      <c r="C48" s="103"/>
      <c r="D48" s="104">
        <f>SUM(D40:D47)</f>
        <v>22.253</v>
      </c>
      <c r="E48" s="72">
        <f>SUM(E40:E47)</f>
        <v>18.859200000000001</v>
      </c>
      <c r="F48" s="105">
        <f>SUM(F40:F47)</f>
        <v>95.051999999999992</v>
      </c>
      <c r="G48" s="106">
        <f>SUM(G40:G47)</f>
        <v>638.95280000000002</v>
      </c>
      <c r="H48" s="107" t="s">
        <v>40</v>
      </c>
      <c r="I48" s="76"/>
    </row>
    <row r="49" spans="1:9" ht="15.75" thickBot="1" x14ac:dyDescent="0.3">
      <c r="A49" s="166"/>
      <c r="B49" s="102" t="s">
        <v>54</v>
      </c>
      <c r="C49" s="109"/>
      <c r="D49" s="110">
        <f>D37+D48</f>
        <v>40.486999999999995</v>
      </c>
      <c r="E49" s="111">
        <f>E37+E48</f>
        <v>51.303199999999997</v>
      </c>
      <c r="F49" s="111">
        <f>F37+F48</f>
        <v>149.46799999999999</v>
      </c>
      <c r="G49" s="112">
        <f>G37+G48</f>
        <v>1221.5488</v>
      </c>
      <c r="H49" s="113" t="s">
        <v>55</v>
      </c>
      <c r="I49" s="114">
        <f>C40+C45+C46+C47+80+15+110+60</f>
        <v>775</v>
      </c>
    </row>
    <row r="50" spans="1:9" ht="15.75" thickBot="1" x14ac:dyDescent="0.3">
      <c r="A50" s="115"/>
      <c r="B50" s="116" t="s">
        <v>56</v>
      </c>
      <c r="C50" s="117"/>
      <c r="D50" s="118">
        <v>38.5</v>
      </c>
      <c r="E50" s="119">
        <v>39.5</v>
      </c>
      <c r="F50" s="120">
        <v>167.5</v>
      </c>
      <c r="G50" s="121">
        <v>1175</v>
      </c>
      <c r="H50" s="82" t="s">
        <v>57</v>
      </c>
      <c r="I50" s="122"/>
    </row>
    <row r="51" spans="1:9" x14ac:dyDescent="0.25">
      <c r="C51" s="3"/>
      <c r="D51" s="3"/>
      <c r="E51" s="3"/>
      <c r="F51" s="3"/>
      <c r="G51" s="3"/>
      <c r="H51" s="3"/>
      <c r="I51" s="3"/>
    </row>
    <row r="52" spans="1:9" x14ac:dyDescent="0.25">
      <c r="C52" s="3"/>
      <c r="D52" s="3"/>
      <c r="E52" s="3"/>
      <c r="F52" s="3"/>
      <c r="G52" s="3"/>
      <c r="H52" s="3"/>
      <c r="I52" s="3"/>
    </row>
    <row r="53" spans="1:9" x14ac:dyDescent="0.25">
      <c r="C53" s="3"/>
      <c r="D53" s="3"/>
      <c r="E53" s="3"/>
      <c r="F53" s="3"/>
      <c r="G53" s="3"/>
      <c r="H53" s="3"/>
      <c r="I53" s="3"/>
    </row>
    <row r="54" spans="1:9" x14ac:dyDescent="0.25">
      <c r="C54" s="3"/>
      <c r="D54" s="3"/>
      <c r="E54" s="3"/>
      <c r="F54" s="3"/>
      <c r="G54" s="3"/>
      <c r="H54" s="3"/>
      <c r="I54" s="3"/>
    </row>
    <row r="55" spans="1:9" x14ac:dyDescent="0.25">
      <c r="C55" s="3"/>
      <c r="D55" s="3"/>
      <c r="E55" s="3"/>
      <c r="F55" s="3"/>
      <c r="G55" s="3"/>
      <c r="H55" s="3"/>
      <c r="I55" s="3"/>
    </row>
    <row r="56" spans="1:9" x14ac:dyDescent="0.25">
      <c r="B56" s="1" t="s">
        <v>0</v>
      </c>
      <c r="C56" s="2"/>
      <c r="F56" s="3"/>
      <c r="G56" s="2"/>
      <c r="H56" s="4"/>
      <c r="I56" s="5"/>
    </row>
    <row r="57" spans="1:9" x14ac:dyDescent="0.25">
      <c r="A57" s="2"/>
      <c r="B57" s="2"/>
      <c r="C57" s="6"/>
      <c r="D57" s="7" t="s">
        <v>1</v>
      </c>
      <c r="I57" s="8">
        <v>0.5</v>
      </c>
    </row>
    <row r="58" spans="1:9" ht="15.75" x14ac:dyDescent="0.25">
      <c r="A58" s="9" t="s">
        <v>161</v>
      </c>
      <c r="B58" s="4"/>
      <c r="E58" s="3"/>
      <c r="F58" s="9" t="s">
        <v>2</v>
      </c>
      <c r="G58" t="s">
        <v>3</v>
      </c>
      <c r="H58" s="10"/>
      <c r="I58" s="10"/>
    </row>
    <row r="59" spans="1:9" ht="15.75" x14ac:dyDescent="0.25">
      <c r="A59" s="9"/>
      <c r="B59" s="4"/>
      <c r="E59" s="9"/>
      <c r="G59" s="10"/>
      <c r="I59" s="10"/>
    </row>
    <row r="60" spans="1:9" ht="15.75" thickBot="1" x14ac:dyDescent="0.3">
      <c r="C60" s="3"/>
      <c r="D60" s="3"/>
      <c r="E60" s="3"/>
      <c r="F60" s="3"/>
      <c r="G60" s="3"/>
      <c r="H60" s="3"/>
      <c r="I60" s="3"/>
    </row>
    <row r="61" spans="1:9" ht="15.75" thickBot="1" x14ac:dyDescent="0.3">
      <c r="A61" s="11" t="s">
        <v>4</v>
      </c>
      <c r="B61" s="12"/>
      <c r="C61" s="13" t="s">
        <v>5</v>
      </c>
      <c r="D61" s="14" t="s">
        <v>6</v>
      </c>
      <c r="E61" s="14"/>
      <c r="F61" s="14"/>
      <c r="G61" s="15" t="s">
        <v>7</v>
      </c>
      <c r="H61" s="16" t="s">
        <v>8</v>
      </c>
      <c r="I61" s="17" t="s">
        <v>9</v>
      </c>
    </row>
    <row r="62" spans="1:9" x14ac:dyDescent="0.25">
      <c r="A62" s="18" t="s">
        <v>10</v>
      </c>
      <c r="B62" s="19" t="s">
        <v>11</v>
      </c>
      <c r="C62" s="20" t="s">
        <v>12</v>
      </c>
      <c r="D62" s="21" t="s">
        <v>13</v>
      </c>
      <c r="E62" s="21" t="s">
        <v>14</v>
      </c>
      <c r="F62" s="21" t="s">
        <v>15</v>
      </c>
      <c r="G62" s="22" t="s">
        <v>16</v>
      </c>
      <c r="H62" s="23" t="s">
        <v>17</v>
      </c>
      <c r="I62" s="24" t="s">
        <v>18</v>
      </c>
    </row>
    <row r="63" spans="1:9" ht="15.75" thickBot="1" x14ac:dyDescent="0.3">
      <c r="A63" s="25"/>
      <c r="B63" s="26"/>
      <c r="C63" s="27"/>
      <c r="D63" s="28" t="s">
        <v>19</v>
      </c>
      <c r="E63" s="28" t="s">
        <v>20</v>
      </c>
      <c r="F63" s="28" t="s">
        <v>21</v>
      </c>
      <c r="G63" s="29" t="s">
        <v>22</v>
      </c>
      <c r="H63" s="30" t="s">
        <v>23</v>
      </c>
      <c r="I63" s="31" t="s">
        <v>24</v>
      </c>
    </row>
    <row r="64" spans="1:9" x14ac:dyDescent="0.25">
      <c r="A64" s="12"/>
      <c r="B64" s="32" t="s">
        <v>25</v>
      </c>
      <c r="C64" s="33"/>
      <c r="D64" s="34"/>
      <c r="E64" s="35"/>
      <c r="F64" s="35"/>
      <c r="G64" s="36"/>
      <c r="H64" s="37"/>
      <c r="I64" s="38"/>
    </row>
    <row r="65" spans="1:9" x14ac:dyDescent="0.25">
      <c r="A65" s="39" t="s">
        <v>26</v>
      </c>
      <c r="B65" s="167" t="s">
        <v>72</v>
      </c>
      <c r="C65" s="168">
        <v>200</v>
      </c>
      <c r="D65" s="158">
        <v>5.71</v>
      </c>
      <c r="E65" s="43">
        <v>3.96</v>
      </c>
      <c r="F65" s="43">
        <v>11.872</v>
      </c>
      <c r="G65" s="44">
        <f>F65*4+E65*9+D65*4</f>
        <v>105.968</v>
      </c>
      <c r="H65" s="151">
        <v>5</v>
      </c>
      <c r="I65" s="53" t="s">
        <v>167</v>
      </c>
    </row>
    <row r="66" spans="1:9" x14ac:dyDescent="0.25">
      <c r="A66" s="47" t="s">
        <v>29</v>
      </c>
      <c r="B66" s="51" t="s">
        <v>74</v>
      </c>
      <c r="C66" s="41">
        <v>200</v>
      </c>
      <c r="D66" s="42">
        <v>3.8</v>
      </c>
      <c r="E66" s="43">
        <v>3</v>
      </c>
      <c r="F66" s="43">
        <v>23</v>
      </c>
      <c r="G66" s="44">
        <f>F66*4+E66*9+D66*4</f>
        <v>134.19999999999999</v>
      </c>
      <c r="H66" s="131">
        <v>53</v>
      </c>
      <c r="I66" s="53" t="s">
        <v>75</v>
      </c>
    </row>
    <row r="67" spans="1:9" ht="15.75" x14ac:dyDescent="0.25">
      <c r="A67" s="50" t="s">
        <v>32</v>
      </c>
      <c r="B67" s="51" t="s">
        <v>33</v>
      </c>
      <c r="C67" s="41">
        <v>30</v>
      </c>
      <c r="D67" s="42">
        <v>1.53</v>
      </c>
      <c r="E67" s="43">
        <v>0.255</v>
      </c>
      <c r="F67" s="43">
        <v>15.276999999999999</v>
      </c>
      <c r="G67" s="44">
        <f>F67*4+E67*9+D67*4</f>
        <v>69.522999999999996</v>
      </c>
      <c r="H67" s="52">
        <v>45</v>
      </c>
      <c r="I67" s="53" t="s">
        <v>34</v>
      </c>
    </row>
    <row r="68" spans="1:9" x14ac:dyDescent="0.25">
      <c r="A68" s="54" t="s">
        <v>76</v>
      </c>
      <c r="B68" s="55" t="s">
        <v>36</v>
      </c>
      <c r="C68" s="56">
        <v>20</v>
      </c>
      <c r="D68" s="57">
        <v>1.1299999999999999</v>
      </c>
      <c r="E68" s="58">
        <v>0.24</v>
      </c>
      <c r="F68" s="58">
        <v>9.0370000000000008</v>
      </c>
      <c r="G68" s="59">
        <f>F68*4+E68*9+D68*4</f>
        <v>42.828000000000003</v>
      </c>
      <c r="H68" s="99">
        <v>46</v>
      </c>
      <c r="I68" s="49" t="s">
        <v>34</v>
      </c>
    </row>
    <row r="69" spans="1:9" ht="15.75" thickBot="1" x14ac:dyDescent="0.3">
      <c r="A69" s="54"/>
      <c r="B69" s="61" t="s">
        <v>37</v>
      </c>
      <c r="C69" s="62">
        <v>130</v>
      </c>
      <c r="D69" s="63">
        <v>0.52</v>
      </c>
      <c r="E69" s="64">
        <v>0.52</v>
      </c>
      <c r="F69" s="65">
        <v>12.74</v>
      </c>
      <c r="G69" s="66">
        <f>F69*4+E69*9+D69*4</f>
        <v>57.72</v>
      </c>
      <c r="H69" s="67">
        <v>48</v>
      </c>
      <c r="I69" s="68" t="s">
        <v>38</v>
      </c>
    </row>
    <row r="70" spans="1:9" x14ac:dyDescent="0.25">
      <c r="A70" s="69" t="s">
        <v>39</v>
      </c>
      <c r="C70" s="70"/>
      <c r="D70" s="71">
        <f>SUM(D65:D69)</f>
        <v>12.689999999999998</v>
      </c>
      <c r="E70" s="72">
        <f>SUM(E65:E69)</f>
        <v>7.9749999999999996</v>
      </c>
      <c r="F70" s="73">
        <f>SUM(F65:F69)</f>
        <v>71.926000000000002</v>
      </c>
      <c r="G70" s="74">
        <f>SUM(G65:G69)</f>
        <v>410.23900000000003</v>
      </c>
      <c r="H70" s="75" t="s">
        <v>40</v>
      </c>
      <c r="I70" s="76"/>
    </row>
    <row r="71" spans="1:9" ht="15.75" thickBot="1" x14ac:dyDescent="0.3">
      <c r="A71" s="77"/>
      <c r="C71" s="3"/>
      <c r="D71" s="78"/>
      <c r="E71" s="79"/>
      <c r="F71" s="80"/>
      <c r="G71" s="81"/>
      <c r="H71" s="82" t="s">
        <v>41</v>
      </c>
      <c r="I71" s="83">
        <f>C65+C66+C67+C68+C69</f>
        <v>580</v>
      </c>
    </row>
    <row r="72" spans="1:9" x14ac:dyDescent="0.25">
      <c r="A72" s="77"/>
      <c r="B72" s="32" t="s">
        <v>42</v>
      </c>
      <c r="C72" s="12"/>
      <c r="D72" s="84"/>
      <c r="E72" s="85"/>
      <c r="F72" s="85"/>
      <c r="G72" s="86"/>
      <c r="H72" s="87"/>
      <c r="I72" s="87"/>
    </row>
    <row r="73" spans="1:9" x14ac:dyDescent="0.25">
      <c r="A73" s="77"/>
      <c r="B73" s="169" t="s">
        <v>77</v>
      </c>
      <c r="C73" s="170">
        <v>200</v>
      </c>
      <c r="D73" s="42">
        <v>3.59</v>
      </c>
      <c r="E73" s="43">
        <v>4.79</v>
      </c>
      <c r="F73" s="43">
        <v>10.176</v>
      </c>
      <c r="G73" s="140">
        <f t="shared" ref="G73:G77" si="6">F73*4+E73*9+D73*4</f>
        <v>98.173999999999992</v>
      </c>
      <c r="H73" s="151">
        <v>10</v>
      </c>
      <c r="I73" s="46" t="s">
        <v>168</v>
      </c>
    </row>
    <row r="74" spans="1:9" x14ac:dyDescent="0.25">
      <c r="A74" s="77"/>
      <c r="B74" s="169" t="s">
        <v>79</v>
      </c>
      <c r="C74" s="171">
        <v>60</v>
      </c>
      <c r="D74" s="172">
        <v>1.0255000000000001</v>
      </c>
      <c r="E74" s="43">
        <v>3.0030000000000001</v>
      </c>
      <c r="F74" s="43">
        <v>5.0750000000000002</v>
      </c>
      <c r="G74" s="44">
        <f t="shared" si="6"/>
        <v>51.429000000000002</v>
      </c>
      <c r="H74" s="129">
        <v>38</v>
      </c>
      <c r="I74" s="49" t="s">
        <v>80</v>
      </c>
    </row>
    <row r="75" spans="1:9" x14ac:dyDescent="0.25">
      <c r="A75" s="77"/>
      <c r="B75" s="173" t="s">
        <v>81</v>
      </c>
      <c r="C75" s="171" t="s">
        <v>169</v>
      </c>
      <c r="D75" s="174">
        <v>12.99</v>
      </c>
      <c r="E75" s="175">
        <v>15.2</v>
      </c>
      <c r="F75" s="176">
        <v>16.239999999999998</v>
      </c>
      <c r="G75" s="44">
        <f t="shared" si="6"/>
        <v>253.72</v>
      </c>
      <c r="H75" s="177">
        <v>22</v>
      </c>
      <c r="I75" s="46" t="s">
        <v>82</v>
      </c>
    </row>
    <row r="76" spans="1:9" x14ac:dyDescent="0.25">
      <c r="A76" s="77"/>
      <c r="B76" s="169" t="s">
        <v>50</v>
      </c>
      <c r="C76" s="171">
        <v>200</v>
      </c>
      <c r="D76" s="42">
        <v>1</v>
      </c>
      <c r="E76" s="43">
        <v>0</v>
      </c>
      <c r="F76" s="43">
        <v>20.92</v>
      </c>
      <c r="G76" s="44">
        <f t="shared" si="6"/>
        <v>87.68</v>
      </c>
      <c r="H76" s="99">
        <v>49</v>
      </c>
      <c r="I76" s="53" t="s">
        <v>51</v>
      </c>
    </row>
    <row r="77" spans="1:9" x14ac:dyDescent="0.25">
      <c r="A77" s="77"/>
      <c r="B77" s="51" t="s">
        <v>33</v>
      </c>
      <c r="C77" s="41">
        <v>40</v>
      </c>
      <c r="D77" s="42">
        <v>2.04</v>
      </c>
      <c r="E77" s="43">
        <v>0.34</v>
      </c>
      <c r="F77" s="43">
        <v>19.036000000000001</v>
      </c>
      <c r="G77" s="44">
        <f t="shared" si="6"/>
        <v>87.364000000000004</v>
      </c>
      <c r="H77" s="52">
        <v>45</v>
      </c>
      <c r="I77" s="53" t="s">
        <v>34</v>
      </c>
    </row>
    <row r="78" spans="1:9" ht="15.75" thickBot="1" x14ac:dyDescent="0.3">
      <c r="A78" s="77"/>
      <c r="B78" s="55" t="s">
        <v>52</v>
      </c>
      <c r="C78" s="56">
        <v>30</v>
      </c>
      <c r="D78" s="57">
        <v>1.6950000000000001</v>
      </c>
      <c r="E78" s="58">
        <v>0.36</v>
      </c>
      <c r="F78" s="58">
        <v>13.555999999999999</v>
      </c>
      <c r="G78" s="59">
        <f>F78*4+E78*9+D78*4</f>
        <v>64.244</v>
      </c>
      <c r="H78" s="52">
        <v>46</v>
      </c>
      <c r="I78" s="165" t="s">
        <v>34</v>
      </c>
    </row>
    <row r="79" spans="1:9" ht="15.75" thickBot="1" x14ac:dyDescent="0.3">
      <c r="A79" s="101" t="s">
        <v>53</v>
      </c>
      <c r="B79" s="102"/>
      <c r="C79" s="103"/>
      <c r="D79" s="104">
        <f>SUM(D73:D78)</f>
        <v>22.340499999999999</v>
      </c>
      <c r="E79" s="72">
        <f>SUM(E73:E78)</f>
        <v>23.692999999999998</v>
      </c>
      <c r="F79" s="105">
        <f>SUM(F73:F78)</f>
        <v>85.003</v>
      </c>
      <c r="G79" s="106">
        <f>SUM(G73:G78)</f>
        <v>642.61099999999999</v>
      </c>
      <c r="H79" s="107" t="s">
        <v>40</v>
      </c>
      <c r="I79" s="76"/>
    </row>
    <row r="80" spans="1:9" ht="15.75" thickBot="1" x14ac:dyDescent="0.3">
      <c r="A80" s="108"/>
      <c r="B80" s="102" t="s">
        <v>54</v>
      </c>
      <c r="C80" s="109"/>
      <c r="D80" s="178">
        <f>D70+D79</f>
        <v>35.030499999999996</v>
      </c>
      <c r="E80" s="179">
        <f t="shared" ref="E80:F80" si="7">E70+E79</f>
        <v>31.667999999999999</v>
      </c>
      <c r="F80" s="179">
        <f t="shared" si="7"/>
        <v>156.929</v>
      </c>
      <c r="G80" s="180">
        <f>G70+G79</f>
        <v>1052.8499999999999</v>
      </c>
      <c r="H80" s="113" t="s">
        <v>55</v>
      </c>
      <c r="I80" s="114" t="e">
        <f>C73+C76+C77+C78+C74+C75</f>
        <v>#VALUE!</v>
      </c>
    </row>
    <row r="81" spans="1:9" ht="15.75" thickBot="1" x14ac:dyDescent="0.3">
      <c r="A81" s="115"/>
      <c r="B81" s="116" t="s">
        <v>56</v>
      </c>
      <c r="C81" s="117"/>
      <c r="D81" s="118">
        <v>38.5</v>
      </c>
      <c r="E81" s="119">
        <v>39.5</v>
      </c>
      <c r="F81" s="120">
        <v>167.5</v>
      </c>
      <c r="G81" s="121">
        <v>1175</v>
      </c>
      <c r="H81" s="82" t="s">
        <v>57</v>
      </c>
      <c r="I81" s="122"/>
    </row>
    <row r="82" spans="1:9" x14ac:dyDescent="0.25">
      <c r="C82" s="3"/>
      <c r="D82" s="3"/>
      <c r="E82" s="3"/>
      <c r="F82" s="3"/>
      <c r="G82" s="3"/>
      <c r="H82" s="3"/>
      <c r="I82" s="3"/>
    </row>
    <row r="83" spans="1:9" x14ac:dyDescent="0.25">
      <c r="C83" s="3"/>
      <c r="D83" s="3"/>
      <c r="E83" s="3"/>
      <c r="F83" s="3"/>
      <c r="G83" s="3"/>
      <c r="H83" s="3"/>
      <c r="I83" s="3"/>
    </row>
    <row r="84" spans="1:9" x14ac:dyDescent="0.25">
      <c r="C84" s="3"/>
      <c r="D84" s="3"/>
      <c r="E84" s="3"/>
      <c r="F84" s="3"/>
      <c r="G84" s="3"/>
      <c r="H84" s="3"/>
      <c r="I84" s="3"/>
    </row>
    <row r="85" spans="1:9" ht="15.75" thickBot="1" x14ac:dyDescent="0.3">
      <c r="C85" s="3"/>
      <c r="D85" s="3"/>
      <c r="E85" s="3"/>
      <c r="F85" s="3"/>
      <c r="G85" s="3"/>
      <c r="H85" s="3"/>
      <c r="I85" s="3"/>
    </row>
    <row r="86" spans="1:9" ht="15.75" thickBot="1" x14ac:dyDescent="0.3">
      <c r="A86" s="11" t="s">
        <v>4</v>
      </c>
      <c r="B86" s="12"/>
      <c r="C86" s="13" t="s">
        <v>5</v>
      </c>
      <c r="D86" s="14" t="s">
        <v>6</v>
      </c>
      <c r="E86" s="14"/>
      <c r="F86" s="14"/>
      <c r="G86" s="15" t="s">
        <v>7</v>
      </c>
      <c r="H86" s="16" t="s">
        <v>8</v>
      </c>
      <c r="I86" s="17" t="s">
        <v>9</v>
      </c>
    </row>
    <row r="87" spans="1:9" x14ac:dyDescent="0.25">
      <c r="A87" s="18" t="s">
        <v>10</v>
      </c>
      <c r="B87" s="19" t="s">
        <v>11</v>
      </c>
      <c r="C87" s="20" t="s">
        <v>12</v>
      </c>
      <c r="D87" s="21" t="s">
        <v>13</v>
      </c>
      <c r="E87" s="21" t="s">
        <v>14</v>
      </c>
      <c r="F87" s="21" t="s">
        <v>15</v>
      </c>
      <c r="G87" s="22" t="s">
        <v>16</v>
      </c>
      <c r="H87" s="23" t="s">
        <v>17</v>
      </c>
      <c r="I87" s="24" t="s">
        <v>18</v>
      </c>
    </row>
    <row r="88" spans="1:9" ht="15.75" thickBot="1" x14ac:dyDescent="0.3">
      <c r="A88" s="25"/>
      <c r="B88" s="26"/>
      <c r="C88" s="27"/>
      <c r="D88" s="28" t="s">
        <v>19</v>
      </c>
      <c r="E88" s="28" t="s">
        <v>20</v>
      </c>
      <c r="F88" s="28" t="s">
        <v>21</v>
      </c>
      <c r="G88" s="29" t="s">
        <v>22</v>
      </c>
      <c r="H88" s="30" t="s">
        <v>23</v>
      </c>
      <c r="I88" s="31" t="s">
        <v>24</v>
      </c>
    </row>
    <row r="89" spans="1:9" x14ac:dyDescent="0.25">
      <c r="A89" s="12"/>
      <c r="B89" s="32" t="s">
        <v>25</v>
      </c>
      <c r="C89" s="33"/>
      <c r="D89" s="34"/>
      <c r="E89" s="35"/>
      <c r="F89" s="35"/>
      <c r="G89" s="36"/>
      <c r="H89" s="37"/>
      <c r="I89" s="38"/>
    </row>
    <row r="90" spans="1:9" x14ac:dyDescent="0.25">
      <c r="A90" s="39" t="s">
        <v>26</v>
      </c>
      <c r="B90" s="181" t="s">
        <v>83</v>
      </c>
      <c r="C90" s="56" t="s">
        <v>170</v>
      </c>
      <c r="D90" s="182">
        <v>22.48</v>
      </c>
      <c r="E90" s="58">
        <v>22.18</v>
      </c>
      <c r="F90" s="182">
        <v>42.22</v>
      </c>
      <c r="G90" s="140">
        <f>F90*4+E90*9+D90*4</f>
        <v>458.42</v>
      </c>
      <c r="H90" s="129">
        <v>40</v>
      </c>
      <c r="I90" s="49" t="s">
        <v>84</v>
      </c>
    </row>
    <row r="91" spans="1:9" x14ac:dyDescent="0.25">
      <c r="A91" s="47" t="s">
        <v>29</v>
      </c>
      <c r="B91" s="183" t="s">
        <v>85</v>
      </c>
      <c r="C91" s="143"/>
      <c r="D91" s="144"/>
      <c r="E91" s="145"/>
      <c r="F91" s="144"/>
      <c r="G91" s="146"/>
      <c r="H91" s="184"/>
      <c r="I91" s="185"/>
    </row>
    <row r="92" spans="1:9" ht="15.75" x14ac:dyDescent="0.25">
      <c r="A92" s="50" t="s">
        <v>32</v>
      </c>
      <c r="B92" s="186" t="s">
        <v>171</v>
      </c>
      <c r="C92" s="41">
        <v>200</v>
      </c>
      <c r="D92" s="42">
        <v>0.4</v>
      </c>
      <c r="E92" s="43">
        <v>0.10199999999999999</v>
      </c>
      <c r="F92" s="43">
        <v>0.08</v>
      </c>
      <c r="G92" s="130">
        <f>F92*4+E92*9+D92*4</f>
        <v>2.8380000000000001</v>
      </c>
      <c r="H92" s="131">
        <v>55</v>
      </c>
      <c r="I92" s="53" t="s">
        <v>86</v>
      </c>
    </row>
    <row r="93" spans="1:9" x14ac:dyDescent="0.25">
      <c r="A93" s="54" t="s">
        <v>87</v>
      </c>
      <c r="B93" s="90" t="s">
        <v>88</v>
      </c>
      <c r="C93" s="41">
        <v>10</v>
      </c>
      <c r="D93" s="187">
        <v>0.42199999999999999</v>
      </c>
      <c r="E93" s="188">
        <v>0.2</v>
      </c>
      <c r="F93" s="188">
        <v>3.67</v>
      </c>
      <c r="G93" s="130">
        <f>F93*4+E93*9+D93*4</f>
        <v>18.167999999999999</v>
      </c>
      <c r="H93" s="131">
        <v>47</v>
      </c>
      <c r="I93" s="53" t="s">
        <v>34</v>
      </c>
    </row>
    <row r="94" spans="1:9" ht="15.75" thickBot="1" x14ac:dyDescent="0.3">
      <c r="A94" s="54"/>
      <c r="B94" s="189" t="s">
        <v>37</v>
      </c>
      <c r="C94" s="190">
        <v>130</v>
      </c>
      <c r="D94" s="191">
        <v>0.52</v>
      </c>
      <c r="E94" s="192">
        <v>0.52</v>
      </c>
      <c r="F94" s="193">
        <v>12.74</v>
      </c>
      <c r="G94" s="194">
        <f>F94*4+E94*9+D94*4</f>
        <v>57.72</v>
      </c>
      <c r="H94" s="195">
        <v>48</v>
      </c>
      <c r="I94" s="196" t="s">
        <v>38</v>
      </c>
    </row>
    <row r="95" spans="1:9" x14ac:dyDescent="0.25">
      <c r="A95" s="69" t="s">
        <v>39</v>
      </c>
      <c r="C95" s="70"/>
      <c r="D95" s="197">
        <f>SUM(D90:D94)</f>
        <v>23.821999999999999</v>
      </c>
      <c r="E95" s="198">
        <f>SUM(E90:E94)</f>
        <v>23.001999999999999</v>
      </c>
      <c r="F95" s="198">
        <f>SUM(F90:F94)</f>
        <v>58.71</v>
      </c>
      <c r="G95" s="199">
        <f>SUM(G90:G94)</f>
        <v>537.14600000000007</v>
      </c>
      <c r="H95" s="75" t="s">
        <v>40</v>
      </c>
      <c r="I95" s="76"/>
    </row>
    <row r="96" spans="1:9" ht="15.75" thickBot="1" x14ac:dyDescent="0.3">
      <c r="A96" s="77"/>
      <c r="C96" s="3"/>
      <c r="D96" s="78"/>
      <c r="E96" s="79"/>
      <c r="F96" s="79"/>
      <c r="G96" s="122"/>
      <c r="H96" s="82" t="s">
        <v>41</v>
      </c>
      <c r="I96" s="83">
        <f>C92+C93+C94+135+25</f>
        <v>500</v>
      </c>
    </row>
    <row r="97" spans="1:9" x14ac:dyDescent="0.25">
      <c r="A97" s="77"/>
      <c r="B97" s="32" t="s">
        <v>42</v>
      </c>
      <c r="C97" s="200"/>
      <c r="D97" s="84"/>
      <c r="E97" s="85"/>
      <c r="F97" s="85"/>
      <c r="G97" s="86"/>
      <c r="H97" s="87"/>
      <c r="I97" s="87"/>
    </row>
    <row r="98" spans="1:9" x14ac:dyDescent="0.25">
      <c r="A98" s="77"/>
      <c r="B98" s="201" t="s">
        <v>89</v>
      </c>
      <c r="C98" s="41">
        <v>200</v>
      </c>
      <c r="D98" s="42">
        <v>4.47</v>
      </c>
      <c r="E98" s="43">
        <v>4.7910000000000004</v>
      </c>
      <c r="F98" s="43">
        <v>7.343</v>
      </c>
      <c r="G98" s="44">
        <f t="shared" ref="G98:G103" si="8">F98*4+E98*9+D98*4</f>
        <v>90.370999999999995</v>
      </c>
      <c r="H98" s="202">
        <v>11</v>
      </c>
      <c r="I98" s="203" t="s">
        <v>90</v>
      </c>
    </row>
    <row r="99" spans="1:9" x14ac:dyDescent="0.25">
      <c r="A99" s="77"/>
      <c r="B99" s="204" t="s">
        <v>91</v>
      </c>
      <c r="C99" s="41">
        <v>100</v>
      </c>
      <c r="D99" s="42">
        <v>11.4008</v>
      </c>
      <c r="E99" s="43">
        <v>10.493</v>
      </c>
      <c r="F99" s="43">
        <v>9.7810000000000006</v>
      </c>
      <c r="G99" s="44">
        <f>F99*4+E99*9+D99*4</f>
        <v>179.16419999999999</v>
      </c>
      <c r="H99" s="131">
        <v>21</v>
      </c>
      <c r="I99" s="53" t="s">
        <v>49</v>
      </c>
    </row>
    <row r="100" spans="1:9" x14ac:dyDescent="0.25">
      <c r="A100" s="77"/>
      <c r="B100" s="205" t="s">
        <v>92</v>
      </c>
      <c r="C100" s="56" t="s">
        <v>172</v>
      </c>
      <c r="D100" s="125">
        <v>2.274</v>
      </c>
      <c r="E100" s="126">
        <v>6.7160000000000002</v>
      </c>
      <c r="F100" s="127">
        <v>13.99</v>
      </c>
      <c r="G100" s="59">
        <f t="shared" si="8"/>
        <v>125.5</v>
      </c>
      <c r="H100" s="206">
        <v>32</v>
      </c>
      <c r="I100" s="49" t="s">
        <v>93</v>
      </c>
    </row>
    <row r="101" spans="1:9" x14ac:dyDescent="0.25">
      <c r="A101" s="77"/>
      <c r="B101" s="207" t="s">
        <v>94</v>
      </c>
      <c r="C101" s="155"/>
      <c r="D101" s="95">
        <v>1.4990000000000001</v>
      </c>
      <c r="E101" s="96">
        <v>3.9531999999999998</v>
      </c>
      <c r="F101" s="97">
        <v>7.9749999999999996</v>
      </c>
      <c r="G101" s="98">
        <f t="shared" si="8"/>
        <v>73.474800000000002</v>
      </c>
      <c r="H101" s="208"/>
      <c r="I101" s="100" t="s">
        <v>69</v>
      </c>
    </row>
    <row r="102" spans="1:9" x14ac:dyDescent="0.25">
      <c r="A102" s="77"/>
      <c r="B102" s="90" t="s">
        <v>95</v>
      </c>
      <c r="C102" s="41">
        <v>200</v>
      </c>
      <c r="D102" s="42">
        <v>0.23200000000000001</v>
      </c>
      <c r="E102" s="43">
        <v>1.2E-2</v>
      </c>
      <c r="F102" s="43">
        <v>32.752000000000002</v>
      </c>
      <c r="G102" s="44">
        <f t="shared" si="8"/>
        <v>132.04400000000001</v>
      </c>
      <c r="H102" s="45">
        <v>51</v>
      </c>
      <c r="I102" s="53" t="s">
        <v>96</v>
      </c>
    </row>
    <row r="103" spans="1:9" x14ac:dyDescent="0.25">
      <c r="A103" s="77"/>
      <c r="B103" s="51" t="s">
        <v>33</v>
      </c>
      <c r="C103" s="41">
        <v>40</v>
      </c>
      <c r="D103" s="42">
        <v>2.04</v>
      </c>
      <c r="E103" s="43">
        <v>0.34</v>
      </c>
      <c r="F103" s="43">
        <v>19.036000000000001</v>
      </c>
      <c r="G103" s="44">
        <f t="shared" si="8"/>
        <v>87.364000000000004</v>
      </c>
      <c r="H103" s="52">
        <v>45</v>
      </c>
      <c r="I103" s="53" t="s">
        <v>34</v>
      </c>
    </row>
    <row r="104" spans="1:9" ht="15.75" thickBot="1" x14ac:dyDescent="0.3">
      <c r="A104" s="77"/>
      <c r="B104" s="55" t="s">
        <v>52</v>
      </c>
      <c r="C104" s="56">
        <v>30</v>
      </c>
      <c r="D104" s="57">
        <v>1.6950000000000001</v>
      </c>
      <c r="E104" s="58">
        <v>0.36</v>
      </c>
      <c r="F104" s="58">
        <v>13.555999999999999</v>
      </c>
      <c r="G104" s="59">
        <f>F104*4+E104*9+D104*4</f>
        <v>64.244</v>
      </c>
      <c r="H104" s="52">
        <v>46</v>
      </c>
      <c r="I104" s="165" t="s">
        <v>34</v>
      </c>
    </row>
    <row r="105" spans="1:9" ht="15.75" thickBot="1" x14ac:dyDescent="0.3">
      <c r="A105" s="101" t="s">
        <v>53</v>
      </c>
      <c r="B105" s="102"/>
      <c r="C105" s="103"/>
      <c r="D105" s="209">
        <f>SUM(D98:D104)</f>
        <v>23.610799999999998</v>
      </c>
      <c r="E105" s="210">
        <f>SUM(E98:E104)</f>
        <v>26.665199999999999</v>
      </c>
      <c r="F105" s="210">
        <f>SUM(F98:F104)</f>
        <v>104.43300000000001</v>
      </c>
      <c r="G105" s="211">
        <f>SUM(G98:G104)</f>
        <v>752.16200000000003</v>
      </c>
      <c r="H105" s="107" t="s">
        <v>40</v>
      </c>
      <c r="I105" s="76"/>
    </row>
    <row r="106" spans="1:9" ht="15.75" thickBot="1" x14ac:dyDescent="0.3">
      <c r="A106" s="108"/>
      <c r="B106" s="102" t="s">
        <v>54</v>
      </c>
      <c r="C106" s="109"/>
      <c r="D106" s="178">
        <f>D95+D105</f>
        <v>47.4328</v>
      </c>
      <c r="E106" s="179">
        <f t="shared" ref="E106" si="9">E95+E105</f>
        <v>49.667199999999994</v>
      </c>
      <c r="F106" s="179">
        <f>F95+F105</f>
        <v>163.143</v>
      </c>
      <c r="G106" s="180">
        <f>G95+G105</f>
        <v>1289.308</v>
      </c>
      <c r="H106" s="113" t="s">
        <v>55</v>
      </c>
      <c r="I106" s="114">
        <f>C98+C99+C102+C103+C104+110+55</f>
        <v>735</v>
      </c>
    </row>
    <row r="107" spans="1:9" ht="15.75" thickBot="1" x14ac:dyDescent="0.3">
      <c r="A107" s="115"/>
      <c r="B107" s="116" t="s">
        <v>56</v>
      </c>
      <c r="C107" s="117"/>
      <c r="D107" s="118">
        <v>38.5</v>
      </c>
      <c r="E107" s="119">
        <v>39.5</v>
      </c>
      <c r="F107" s="120">
        <v>167.5</v>
      </c>
      <c r="G107" s="121">
        <v>1175</v>
      </c>
      <c r="H107" s="82" t="s">
        <v>57</v>
      </c>
      <c r="I107" s="122"/>
    </row>
    <row r="108" spans="1:9" x14ac:dyDescent="0.25">
      <c r="B108" s="1" t="s">
        <v>0</v>
      </c>
      <c r="C108" s="2"/>
      <c r="F108" s="3"/>
      <c r="G108" s="2"/>
      <c r="H108" s="4"/>
      <c r="I108" s="5"/>
    </row>
    <row r="109" spans="1:9" x14ac:dyDescent="0.25">
      <c r="A109" s="2"/>
      <c r="B109" s="2"/>
      <c r="C109" s="6"/>
      <c r="D109" s="7" t="s">
        <v>1</v>
      </c>
      <c r="I109" s="8">
        <v>0.5</v>
      </c>
    </row>
    <row r="110" spans="1:9" ht="15.75" x14ac:dyDescent="0.25">
      <c r="A110" s="9" t="s">
        <v>161</v>
      </c>
      <c r="B110" s="4"/>
      <c r="E110" s="3"/>
      <c r="F110" s="9" t="s">
        <v>2</v>
      </c>
      <c r="G110" t="s">
        <v>3</v>
      </c>
      <c r="H110" s="10"/>
      <c r="I110" s="10"/>
    </row>
    <row r="111" spans="1:9" ht="15.75" thickBot="1" x14ac:dyDescent="0.3">
      <c r="C111" s="3"/>
      <c r="D111" s="3"/>
      <c r="E111" s="3"/>
      <c r="F111" s="3"/>
      <c r="G111" s="3"/>
      <c r="H111" s="3"/>
      <c r="I111" s="3"/>
    </row>
    <row r="112" spans="1:9" ht="15.75" thickBot="1" x14ac:dyDescent="0.3">
      <c r="A112" s="11" t="s">
        <v>4</v>
      </c>
      <c r="B112" s="12"/>
      <c r="C112" s="13" t="s">
        <v>5</v>
      </c>
      <c r="D112" s="14" t="s">
        <v>6</v>
      </c>
      <c r="E112" s="14"/>
      <c r="F112" s="14"/>
      <c r="G112" s="15" t="s">
        <v>7</v>
      </c>
      <c r="H112" s="16" t="s">
        <v>8</v>
      </c>
      <c r="I112" s="17" t="s">
        <v>9</v>
      </c>
    </row>
    <row r="113" spans="1:9" x14ac:dyDescent="0.25">
      <c r="A113" s="18" t="s">
        <v>10</v>
      </c>
      <c r="B113" s="19" t="s">
        <v>11</v>
      </c>
      <c r="C113" s="20" t="s">
        <v>12</v>
      </c>
      <c r="D113" s="21" t="s">
        <v>13</v>
      </c>
      <c r="E113" s="21" t="s">
        <v>14</v>
      </c>
      <c r="F113" s="21" t="s">
        <v>15</v>
      </c>
      <c r="G113" s="22" t="s">
        <v>16</v>
      </c>
      <c r="H113" s="23" t="s">
        <v>17</v>
      </c>
      <c r="I113" s="24" t="s">
        <v>18</v>
      </c>
    </row>
    <row r="114" spans="1:9" ht="15.75" thickBot="1" x14ac:dyDescent="0.3">
      <c r="A114" s="25"/>
      <c r="B114" s="26"/>
      <c r="C114" s="27"/>
      <c r="D114" s="28" t="s">
        <v>19</v>
      </c>
      <c r="E114" s="28" t="s">
        <v>20</v>
      </c>
      <c r="F114" s="28" t="s">
        <v>21</v>
      </c>
      <c r="G114" s="29" t="s">
        <v>22</v>
      </c>
      <c r="H114" s="30" t="s">
        <v>23</v>
      </c>
      <c r="I114" s="31" t="s">
        <v>24</v>
      </c>
    </row>
    <row r="115" spans="1:9" x14ac:dyDescent="0.25">
      <c r="A115" s="12"/>
      <c r="B115" s="32" t="s">
        <v>25</v>
      </c>
      <c r="C115" s="33"/>
      <c r="D115" s="34"/>
      <c r="E115" s="35"/>
      <c r="F115" s="35"/>
      <c r="G115" s="36"/>
      <c r="H115" s="37"/>
      <c r="I115" s="38"/>
    </row>
    <row r="116" spans="1:9" x14ac:dyDescent="0.25">
      <c r="A116" s="39" t="s">
        <v>26</v>
      </c>
      <c r="B116" s="186" t="s">
        <v>97</v>
      </c>
      <c r="C116" s="56" t="s">
        <v>173</v>
      </c>
      <c r="D116" s="182">
        <v>6.9969999999999999</v>
      </c>
      <c r="E116" s="58">
        <v>6.3230000000000004</v>
      </c>
      <c r="F116" s="182">
        <v>18.09</v>
      </c>
      <c r="G116" s="140">
        <f>F116*4+E116*9+D116*4</f>
        <v>157.255</v>
      </c>
      <c r="H116" s="212">
        <v>4</v>
      </c>
      <c r="I116" s="213" t="s">
        <v>98</v>
      </c>
    </row>
    <row r="117" spans="1:9" x14ac:dyDescent="0.25">
      <c r="A117" s="47" t="s">
        <v>29</v>
      </c>
      <c r="B117" s="214" t="s">
        <v>99</v>
      </c>
      <c r="C117" s="137" t="s">
        <v>174</v>
      </c>
      <c r="D117" s="42">
        <v>11.145</v>
      </c>
      <c r="E117" s="176">
        <v>5.0279999999999996</v>
      </c>
      <c r="F117" s="43">
        <v>7.38</v>
      </c>
      <c r="G117" s="44">
        <f>F117*4+E117*9+D117*4</f>
        <v>119.35199999999999</v>
      </c>
      <c r="H117" s="131">
        <v>42</v>
      </c>
      <c r="I117" s="49" t="s">
        <v>100</v>
      </c>
    </row>
    <row r="118" spans="1:9" ht="15.75" x14ac:dyDescent="0.25">
      <c r="A118" s="50" t="s">
        <v>32</v>
      </c>
      <c r="B118" s="51" t="s">
        <v>60</v>
      </c>
      <c r="C118" s="41">
        <v>200</v>
      </c>
      <c r="D118" s="42">
        <v>7.0000000000000007E-2</v>
      </c>
      <c r="E118" s="43">
        <v>0.02</v>
      </c>
      <c r="F118" s="43">
        <v>15</v>
      </c>
      <c r="G118" s="130">
        <f>F118*4+E118*9+D118*4</f>
        <v>60.46</v>
      </c>
      <c r="H118" s="131">
        <v>54</v>
      </c>
      <c r="I118" s="53" t="s">
        <v>61</v>
      </c>
    </row>
    <row r="119" spans="1:9" ht="15.75" thickBot="1" x14ac:dyDescent="0.3">
      <c r="A119" s="54" t="s">
        <v>101</v>
      </c>
      <c r="B119" s="132"/>
      <c r="C119" s="62"/>
      <c r="D119" s="63"/>
      <c r="E119" s="64"/>
      <c r="F119" s="65"/>
      <c r="G119" s="66"/>
      <c r="H119" s="67"/>
      <c r="I119" s="68"/>
    </row>
    <row r="120" spans="1:9" x14ac:dyDescent="0.25">
      <c r="A120" s="69" t="s">
        <v>39</v>
      </c>
      <c r="C120" s="70"/>
      <c r="D120" s="197">
        <f>SUM(D116:D119)</f>
        <v>18.212</v>
      </c>
      <c r="E120" s="215">
        <f>SUM(E116:E119)</f>
        <v>11.370999999999999</v>
      </c>
      <c r="F120" s="198">
        <f>SUM(F116:F119)</f>
        <v>40.47</v>
      </c>
      <c r="G120" s="216">
        <f>SUM(G116:G119)</f>
        <v>337.06699999999995</v>
      </c>
      <c r="H120" s="75" t="s">
        <v>40</v>
      </c>
      <c r="I120" s="76"/>
    </row>
    <row r="121" spans="1:9" ht="15.75" thickBot="1" x14ac:dyDescent="0.3">
      <c r="A121" s="77"/>
      <c r="C121" s="3"/>
      <c r="D121" s="217"/>
      <c r="E121" s="218"/>
      <c r="F121" s="219"/>
      <c r="G121" s="220"/>
      <c r="H121" s="82" t="s">
        <v>41</v>
      </c>
      <c r="I121" s="83">
        <f>C118+180+20+90+30</f>
        <v>520</v>
      </c>
    </row>
    <row r="122" spans="1:9" x14ac:dyDescent="0.25">
      <c r="A122" s="77"/>
      <c r="B122" s="32" t="s">
        <v>42</v>
      </c>
      <c r="C122" s="200"/>
      <c r="D122" s="84"/>
      <c r="E122" s="85"/>
      <c r="F122" s="85"/>
      <c r="G122" s="86"/>
      <c r="H122" s="87"/>
      <c r="I122" s="87"/>
    </row>
    <row r="123" spans="1:9" x14ac:dyDescent="0.25">
      <c r="A123" s="77"/>
      <c r="B123" s="183" t="s">
        <v>102</v>
      </c>
      <c r="C123" s="41">
        <v>200</v>
      </c>
      <c r="D123" s="158">
        <v>4.8</v>
      </c>
      <c r="E123" s="43">
        <v>5.6079999999999997</v>
      </c>
      <c r="F123" s="43">
        <v>13</v>
      </c>
      <c r="G123" s="44">
        <f t="shared" ref="G123:G127" si="10">F123*4+E123*9+D123*4</f>
        <v>121.672</v>
      </c>
      <c r="H123" s="99">
        <v>12</v>
      </c>
      <c r="I123" s="100" t="s">
        <v>103</v>
      </c>
    </row>
    <row r="124" spans="1:9" x14ac:dyDescent="0.25">
      <c r="A124" s="77"/>
      <c r="B124" s="90" t="s">
        <v>104</v>
      </c>
      <c r="C124" s="89" t="s">
        <v>175</v>
      </c>
      <c r="D124" s="42">
        <v>11.4</v>
      </c>
      <c r="E124" s="43">
        <v>12.16</v>
      </c>
      <c r="F124" s="43">
        <v>15.484999999999999</v>
      </c>
      <c r="G124" s="44">
        <f t="shared" si="10"/>
        <v>216.98</v>
      </c>
      <c r="H124" s="45">
        <v>28</v>
      </c>
      <c r="I124" s="53" t="s">
        <v>105</v>
      </c>
    </row>
    <row r="125" spans="1:9" x14ac:dyDescent="0.25">
      <c r="A125" s="77"/>
      <c r="B125" s="90" t="s">
        <v>106</v>
      </c>
      <c r="C125" s="41">
        <v>60</v>
      </c>
      <c r="D125" s="158">
        <v>0.48</v>
      </c>
      <c r="E125" s="43">
        <v>0.06</v>
      </c>
      <c r="F125" s="188">
        <v>1.02</v>
      </c>
      <c r="G125" s="221">
        <f t="shared" si="10"/>
        <v>6.54</v>
      </c>
      <c r="H125" s="48">
        <v>39</v>
      </c>
      <c r="I125" s="49" t="s">
        <v>107</v>
      </c>
    </row>
    <row r="126" spans="1:9" x14ac:dyDescent="0.25">
      <c r="A126" s="77"/>
      <c r="B126" s="183" t="s">
        <v>50</v>
      </c>
      <c r="C126" s="41">
        <v>200</v>
      </c>
      <c r="D126" s="42">
        <v>1</v>
      </c>
      <c r="E126" s="43">
        <v>0</v>
      </c>
      <c r="F126" s="43">
        <v>20.92</v>
      </c>
      <c r="G126" s="44">
        <f t="shared" si="10"/>
        <v>87.68</v>
      </c>
      <c r="H126" s="151">
        <v>49</v>
      </c>
      <c r="I126" s="53" t="s">
        <v>51</v>
      </c>
    </row>
    <row r="127" spans="1:9" x14ac:dyDescent="0.25">
      <c r="A127" s="77"/>
      <c r="B127" s="51" t="s">
        <v>33</v>
      </c>
      <c r="C127" s="41">
        <v>40</v>
      </c>
      <c r="D127" s="42">
        <v>2.04</v>
      </c>
      <c r="E127" s="43">
        <v>0.34</v>
      </c>
      <c r="F127" s="43">
        <v>19.036000000000001</v>
      </c>
      <c r="G127" s="44">
        <f t="shared" si="10"/>
        <v>87.364000000000004</v>
      </c>
      <c r="H127" s="52">
        <v>45</v>
      </c>
      <c r="I127" s="53" t="s">
        <v>34</v>
      </c>
    </row>
    <row r="128" spans="1:9" ht="15.75" thickBot="1" x14ac:dyDescent="0.3">
      <c r="A128" s="77"/>
      <c r="B128" s="55" t="s">
        <v>52</v>
      </c>
      <c r="C128" s="62">
        <v>30</v>
      </c>
      <c r="D128" s="57">
        <v>1.6950000000000001</v>
      </c>
      <c r="E128" s="58">
        <v>0.36</v>
      </c>
      <c r="F128" s="58">
        <v>13.555999999999999</v>
      </c>
      <c r="G128" s="59">
        <f>F128*4+E128*9+D128*4</f>
        <v>64.244</v>
      </c>
      <c r="H128" s="52">
        <v>46</v>
      </c>
      <c r="I128" s="165" t="s">
        <v>34</v>
      </c>
    </row>
    <row r="129" spans="1:9" ht="15.75" thickBot="1" x14ac:dyDescent="0.3">
      <c r="A129" s="101" t="s">
        <v>53</v>
      </c>
      <c r="B129" s="102"/>
      <c r="C129" s="103"/>
      <c r="D129" s="222">
        <f>SUM(D123:D128)</f>
        <v>21.414999999999999</v>
      </c>
      <c r="E129" s="223">
        <f>SUM(E123:E128)</f>
        <v>18.527999999999999</v>
      </c>
      <c r="F129" s="198">
        <f>SUM(F123:F128)</f>
        <v>83.016999999999996</v>
      </c>
      <c r="G129" s="223">
        <f>SUM(G123:G128)</f>
        <v>584.48</v>
      </c>
      <c r="H129" s="107" t="s">
        <v>40</v>
      </c>
      <c r="I129" s="76"/>
    </row>
    <row r="130" spans="1:9" ht="15.75" thickBot="1" x14ac:dyDescent="0.3">
      <c r="A130" s="108"/>
      <c r="B130" s="102" t="s">
        <v>54</v>
      </c>
      <c r="C130" s="109"/>
      <c r="D130" s="178">
        <f>D120+D129</f>
        <v>39.626999999999995</v>
      </c>
      <c r="E130" s="179">
        <f t="shared" ref="E130:F130" si="11">E120+E129</f>
        <v>29.898999999999997</v>
      </c>
      <c r="F130" s="179">
        <f t="shared" si="11"/>
        <v>123.48699999999999</v>
      </c>
      <c r="G130" s="180">
        <f>G120+G129</f>
        <v>921.54700000000003</v>
      </c>
      <c r="H130" s="113" t="s">
        <v>55</v>
      </c>
      <c r="I130" s="114">
        <f>C123+C125+C126+C127+C128+46+144</f>
        <v>720</v>
      </c>
    </row>
    <row r="131" spans="1:9" ht="15.75" thickBot="1" x14ac:dyDescent="0.3">
      <c r="A131" s="115"/>
      <c r="B131" s="116" t="s">
        <v>56</v>
      </c>
      <c r="C131" s="117"/>
      <c r="D131" s="118">
        <v>38.5</v>
      </c>
      <c r="E131" s="119">
        <v>39.5</v>
      </c>
      <c r="F131" s="120">
        <v>167.5</v>
      </c>
      <c r="G131" s="121">
        <v>1175</v>
      </c>
      <c r="H131" s="82" t="s">
        <v>57</v>
      </c>
      <c r="I131" s="122"/>
    </row>
    <row r="132" spans="1:9" x14ac:dyDescent="0.25">
      <c r="C132" s="3"/>
      <c r="D132" s="3"/>
      <c r="E132" s="3"/>
      <c r="F132" s="3"/>
      <c r="G132" s="3"/>
      <c r="H132" s="3"/>
      <c r="I132" s="3"/>
    </row>
    <row r="133" spans="1:9" x14ac:dyDescent="0.25">
      <c r="C133" s="3"/>
      <c r="D133" s="3"/>
      <c r="E133" s="3"/>
      <c r="F133" s="3"/>
      <c r="G133" s="3"/>
      <c r="H133" s="3"/>
      <c r="I133" s="3"/>
    </row>
    <row r="134" spans="1:9" x14ac:dyDescent="0.25">
      <c r="C134" s="3"/>
      <c r="D134" s="3"/>
      <c r="E134" s="3"/>
      <c r="F134" s="3"/>
      <c r="G134" s="3"/>
      <c r="H134" s="3"/>
      <c r="I134" s="3"/>
    </row>
    <row r="135" spans="1:9" x14ac:dyDescent="0.25">
      <c r="C135" s="3"/>
      <c r="D135" s="3"/>
      <c r="E135" s="3"/>
      <c r="F135" s="3"/>
      <c r="G135" s="3"/>
      <c r="H135" s="3"/>
      <c r="I135" s="3"/>
    </row>
    <row r="136" spans="1:9" ht="15.75" thickBot="1" x14ac:dyDescent="0.3">
      <c r="C136" s="224"/>
      <c r="D136" s="7" t="s">
        <v>176</v>
      </c>
      <c r="E136" s="70"/>
      <c r="F136" s="225"/>
      <c r="G136" s="226"/>
      <c r="H136" s="227"/>
      <c r="I136" s="227"/>
    </row>
    <row r="137" spans="1:9" ht="15.75" thickBot="1" x14ac:dyDescent="0.3">
      <c r="A137" s="11" t="s">
        <v>4</v>
      </c>
      <c r="B137" s="12"/>
      <c r="C137" s="13" t="s">
        <v>5</v>
      </c>
      <c r="D137" s="14" t="s">
        <v>6</v>
      </c>
      <c r="E137" s="14"/>
      <c r="F137" s="14"/>
      <c r="G137" s="15" t="s">
        <v>7</v>
      </c>
      <c r="H137" s="16" t="s">
        <v>8</v>
      </c>
      <c r="I137" s="17" t="s">
        <v>9</v>
      </c>
    </row>
    <row r="138" spans="1:9" x14ac:dyDescent="0.25">
      <c r="A138" s="18" t="s">
        <v>10</v>
      </c>
      <c r="B138" s="19" t="s">
        <v>11</v>
      </c>
      <c r="C138" s="20" t="s">
        <v>12</v>
      </c>
      <c r="D138" s="21" t="s">
        <v>13</v>
      </c>
      <c r="E138" s="21" t="s">
        <v>14</v>
      </c>
      <c r="F138" s="21" t="s">
        <v>15</v>
      </c>
      <c r="G138" s="22" t="s">
        <v>16</v>
      </c>
      <c r="H138" s="23" t="s">
        <v>17</v>
      </c>
      <c r="I138" s="24" t="s">
        <v>18</v>
      </c>
    </row>
    <row r="139" spans="1:9" ht="15.75" thickBot="1" x14ac:dyDescent="0.3">
      <c r="A139" s="25"/>
      <c r="B139" s="26"/>
      <c r="C139" s="27"/>
      <c r="D139" s="28" t="s">
        <v>19</v>
      </c>
      <c r="E139" s="28" t="s">
        <v>20</v>
      </c>
      <c r="F139" s="28" t="s">
        <v>21</v>
      </c>
      <c r="G139" s="29" t="s">
        <v>22</v>
      </c>
      <c r="H139" s="228" t="s">
        <v>23</v>
      </c>
      <c r="I139" s="31" t="s">
        <v>24</v>
      </c>
    </row>
    <row r="140" spans="1:9" x14ac:dyDescent="0.25">
      <c r="A140" s="12"/>
      <c r="B140" s="229" t="s">
        <v>25</v>
      </c>
      <c r="C140" s="33"/>
      <c r="D140" s="34"/>
      <c r="E140" s="35"/>
      <c r="F140" s="35"/>
      <c r="G140" s="36"/>
      <c r="H140" s="230"/>
      <c r="I140" s="38"/>
    </row>
    <row r="141" spans="1:9" x14ac:dyDescent="0.25">
      <c r="A141" s="39" t="s">
        <v>26</v>
      </c>
      <c r="B141" s="231" t="s">
        <v>109</v>
      </c>
      <c r="C141" s="232">
        <v>200</v>
      </c>
      <c r="D141" s="158">
        <v>5.71</v>
      </c>
      <c r="E141" s="43">
        <v>3.96</v>
      </c>
      <c r="F141" s="43">
        <v>11.872</v>
      </c>
      <c r="G141" s="44">
        <f>F141*4+E141*9+D141*4</f>
        <v>105.968</v>
      </c>
      <c r="H141" s="151">
        <v>6</v>
      </c>
      <c r="I141" s="53" t="s">
        <v>73</v>
      </c>
    </row>
    <row r="142" spans="1:9" x14ac:dyDescent="0.25">
      <c r="A142" s="47" t="s">
        <v>110</v>
      </c>
      <c r="B142" s="233" t="s">
        <v>111</v>
      </c>
      <c r="C142" s="89">
        <v>20</v>
      </c>
      <c r="D142" s="42">
        <v>5.12</v>
      </c>
      <c r="E142" s="43">
        <v>5.22</v>
      </c>
      <c r="F142" s="43">
        <v>0</v>
      </c>
      <c r="G142" s="44">
        <f>F142*4+E142*9+D142*4</f>
        <v>67.459999999999994</v>
      </c>
      <c r="H142" s="151">
        <v>43</v>
      </c>
      <c r="I142" s="234" t="s">
        <v>112</v>
      </c>
    </row>
    <row r="143" spans="1:9" ht="15.75" x14ac:dyDescent="0.25">
      <c r="A143" s="50" t="s">
        <v>32</v>
      </c>
      <c r="B143" s="233" t="s">
        <v>113</v>
      </c>
      <c r="C143" s="89">
        <v>10</v>
      </c>
      <c r="D143" s="158">
        <v>0.08</v>
      </c>
      <c r="E143" s="43">
        <v>7.25</v>
      </c>
      <c r="F143" s="235">
        <v>0.13</v>
      </c>
      <c r="G143" s="44">
        <f t="shared" ref="G143" si="12">F143*4+E143*9+D143*4</f>
        <v>66.089999999999989</v>
      </c>
      <c r="H143" s="151">
        <v>44</v>
      </c>
      <c r="I143" s="234" t="s">
        <v>114</v>
      </c>
    </row>
    <row r="144" spans="1:9" x14ac:dyDescent="0.25">
      <c r="A144" s="54" t="s">
        <v>115</v>
      </c>
      <c r="B144" s="51" t="s">
        <v>60</v>
      </c>
      <c r="C144" s="41">
        <v>200</v>
      </c>
      <c r="D144" s="42">
        <v>7.0000000000000007E-2</v>
      </c>
      <c r="E144" s="43">
        <v>0.02</v>
      </c>
      <c r="F144" s="43">
        <v>15</v>
      </c>
      <c r="G144" s="130">
        <f>F144*4+E144*9+D144*4</f>
        <v>60.46</v>
      </c>
      <c r="H144" s="131">
        <v>54</v>
      </c>
      <c r="I144" s="53" t="s">
        <v>61</v>
      </c>
    </row>
    <row r="145" spans="1:9" x14ac:dyDescent="0.25">
      <c r="A145" s="54"/>
      <c r="B145" s="51" t="s">
        <v>33</v>
      </c>
      <c r="C145" s="41">
        <v>60</v>
      </c>
      <c r="D145" s="42">
        <v>3.06</v>
      </c>
      <c r="E145" s="43">
        <v>0.51</v>
      </c>
      <c r="F145" s="43">
        <v>30.544</v>
      </c>
      <c r="G145" s="44">
        <f>F145*4+E145*9+D145*4</f>
        <v>139.006</v>
      </c>
      <c r="H145" s="151">
        <v>45</v>
      </c>
      <c r="I145" s="53" t="s">
        <v>34</v>
      </c>
    </row>
    <row r="146" spans="1:9" ht="15.75" thickBot="1" x14ac:dyDescent="0.3">
      <c r="A146" s="77"/>
      <c r="B146" s="236" t="s">
        <v>36</v>
      </c>
      <c r="C146" s="62">
        <v>20</v>
      </c>
      <c r="D146" s="57">
        <v>1.1299999999999999</v>
      </c>
      <c r="E146" s="58">
        <v>0.24</v>
      </c>
      <c r="F146" s="58">
        <v>9.0370000000000008</v>
      </c>
      <c r="G146" s="59">
        <f>F146*4+E146*9+D146*4</f>
        <v>42.828000000000003</v>
      </c>
      <c r="H146" s="237">
        <v>46</v>
      </c>
      <c r="I146" s="165" t="s">
        <v>34</v>
      </c>
    </row>
    <row r="147" spans="1:9" x14ac:dyDescent="0.25">
      <c r="A147" s="69" t="s">
        <v>39</v>
      </c>
      <c r="C147" s="70"/>
      <c r="D147" s="197">
        <f>SUM(D141:D146)</f>
        <v>15.170000000000002</v>
      </c>
      <c r="E147" s="198">
        <f>SUM(E141:E146)</f>
        <v>17.2</v>
      </c>
      <c r="F147" s="238">
        <f>SUM(F141:F146)</f>
        <v>66.583000000000013</v>
      </c>
      <c r="G147" s="216">
        <f>SUM(G141:G146)</f>
        <v>481.8119999999999</v>
      </c>
      <c r="H147" s="239" t="s">
        <v>40</v>
      </c>
      <c r="I147" s="76"/>
    </row>
    <row r="148" spans="1:9" ht="15.75" thickBot="1" x14ac:dyDescent="0.3">
      <c r="A148" s="77"/>
      <c r="C148" s="3"/>
      <c r="D148" s="78"/>
      <c r="E148" s="79"/>
      <c r="F148" s="79"/>
      <c r="G148" s="81"/>
      <c r="H148" s="82" t="s">
        <v>41</v>
      </c>
      <c r="I148" s="83">
        <f>C141+C142+C144+C145+C146+C143</f>
        <v>510</v>
      </c>
    </row>
    <row r="149" spans="1:9" x14ac:dyDescent="0.25">
      <c r="A149" s="77"/>
      <c r="B149" s="32" t="s">
        <v>42</v>
      </c>
      <c r="C149" s="200"/>
      <c r="D149" s="84"/>
      <c r="E149" s="85"/>
      <c r="F149" s="85"/>
      <c r="G149" s="86"/>
      <c r="H149" s="87"/>
      <c r="I149" s="87"/>
    </row>
    <row r="150" spans="1:9" x14ac:dyDescent="0.25">
      <c r="A150" s="77"/>
      <c r="B150" s="240" t="s">
        <v>116</v>
      </c>
      <c r="C150" s="241">
        <v>200</v>
      </c>
      <c r="D150" s="42">
        <v>2</v>
      </c>
      <c r="E150" s="43">
        <v>6.5</v>
      </c>
      <c r="F150" s="43">
        <v>13.44</v>
      </c>
      <c r="G150" s="44">
        <f t="shared" ref="G150:G154" si="13">F150*4+E150*9+D150*4</f>
        <v>120.25999999999999</v>
      </c>
      <c r="H150" s="242">
        <v>13</v>
      </c>
      <c r="I150" s="243" t="s">
        <v>117</v>
      </c>
    </row>
    <row r="151" spans="1:9" x14ac:dyDescent="0.25">
      <c r="A151" s="77"/>
      <c r="B151" s="244" t="s">
        <v>79</v>
      </c>
      <c r="C151" s="171">
        <v>60</v>
      </c>
      <c r="D151" s="172">
        <v>1.0255000000000001</v>
      </c>
      <c r="E151" s="43">
        <v>3.0030000000000001</v>
      </c>
      <c r="F151" s="43">
        <v>5.0750000000000002</v>
      </c>
      <c r="G151" s="44">
        <f t="shared" si="13"/>
        <v>51.429000000000002</v>
      </c>
      <c r="H151" s="129">
        <v>38</v>
      </c>
      <c r="I151" s="49" t="s">
        <v>80</v>
      </c>
    </row>
    <row r="152" spans="1:9" x14ac:dyDescent="0.25">
      <c r="A152" s="77"/>
      <c r="B152" s="244" t="s">
        <v>118</v>
      </c>
      <c r="C152" s="171" t="s">
        <v>177</v>
      </c>
      <c r="D152" s="187">
        <v>15.052</v>
      </c>
      <c r="E152" s="188">
        <v>18.091999999999999</v>
      </c>
      <c r="F152" s="188">
        <v>37.1</v>
      </c>
      <c r="G152" s="44">
        <f t="shared" si="13"/>
        <v>371.43599999999992</v>
      </c>
      <c r="H152" s="45">
        <v>23</v>
      </c>
      <c r="I152" s="53" t="s">
        <v>119</v>
      </c>
    </row>
    <row r="153" spans="1:9" x14ac:dyDescent="0.25">
      <c r="A153" s="77"/>
      <c r="B153" s="245" t="s">
        <v>50</v>
      </c>
      <c r="C153" s="171">
        <v>200</v>
      </c>
      <c r="D153" s="42">
        <v>1</v>
      </c>
      <c r="E153" s="43">
        <v>0</v>
      </c>
      <c r="F153" s="43">
        <v>20.92</v>
      </c>
      <c r="G153" s="44">
        <f t="shared" si="13"/>
        <v>87.68</v>
      </c>
      <c r="H153" s="151">
        <v>49</v>
      </c>
      <c r="I153" s="53" t="s">
        <v>51</v>
      </c>
    </row>
    <row r="154" spans="1:9" x14ac:dyDescent="0.25">
      <c r="A154" s="77"/>
      <c r="B154" s="244" t="s">
        <v>33</v>
      </c>
      <c r="C154" s="41">
        <v>40</v>
      </c>
      <c r="D154" s="42">
        <v>2.04</v>
      </c>
      <c r="E154" s="43">
        <v>0.34</v>
      </c>
      <c r="F154" s="43">
        <v>19.036000000000001</v>
      </c>
      <c r="G154" s="44">
        <f t="shared" si="13"/>
        <v>87.364000000000004</v>
      </c>
      <c r="H154" s="52">
        <v>45</v>
      </c>
      <c r="I154" s="53" t="s">
        <v>34</v>
      </c>
    </row>
    <row r="155" spans="1:9" ht="15.75" thickBot="1" x14ac:dyDescent="0.3">
      <c r="A155" s="161"/>
      <c r="B155" s="55" t="s">
        <v>52</v>
      </c>
      <c r="C155" s="62">
        <v>30</v>
      </c>
      <c r="D155" s="57">
        <v>1.6950000000000001</v>
      </c>
      <c r="E155" s="58">
        <v>0.36</v>
      </c>
      <c r="F155" s="58">
        <v>13.555999999999999</v>
      </c>
      <c r="G155" s="59">
        <f>F155*4+E155*9+D155*4</f>
        <v>64.244</v>
      </c>
      <c r="H155" s="52">
        <v>46</v>
      </c>
      <c r="I155" s="165" t="s">
        <v>34</v>
      </c>
    </row>
    <row r="156" spans="1:9" ht="15.75" thickBot="1" x14ac:dyDescent="0.3">
      <c r="A156" s="101" t="s">
        <v>53</v>
      </c>
      <c r="B156" s="102"/>
      <c r="C156" s="103"/>
      <c r="D156" s="222">
        <f>SUM(D150:D155)</f>
        <v>22.8125</v>
      </c>
      <c r="E156" s="223">
        <f>SUM(E150:E155)</f>
        <v>28.294999999999998</v>
      </c>
      <c r="F156" s="198">
        <f>SUM(F150:F155)</f>
        <v>109.127</v>
      </c>
      <c r="G156" s="246">
        <f>SUM(G150:G155)</f>
        <v>782.4129999999999</v>
      </c>
      <c r="H156" s="107" t="s">
        <v>40</v>
      </c>
      <c r="I156" s="76"/>
    </row>
    <row r="157" spans="1:9" ht="15.75" thickBot="1" x14ac:dyDescent="0.3">
      <c r="A157" s="108"/>
      <c r="B157" s="102" t="s">
        <v>54</v>
      </c>
      <c r="C157" s="109"/>
      <c r="D157" s="178">
        <f>D156+D147</f>
        <v>37.982500000000002</v>
      </c>
      <c r="E157" s="179">
        <f t="shared" ref="E157:F157" si="14">E156+E147</f>
        <v>45.494999999999997</v>
      </c>
      <c r="F157" s="179">
        <f t="shared" si="14"/>
        <v>175.71</v>
      </c>
      <c r="G157" s="180">
        <f>G156+G147</f>
        <v>1264.2249999999999</v>
      </c>
      <c r="H157" s="247" t="s">
        <v>55</v>
      </c>
      <c r="I157" s="114">
        <f>C150+C151+C153+C154+C155+70+110</f>
        <v>710</v>
      </c>
    </row>
    <row r="158" spans="1:9" ht="15.75" thickBot="1" x14ac:dyDescent="0.3">
      <c r="A158" s="115"/>
      <c r="B158" s="116" t="s">
        <v>56</v>
      </c>
      <c r="C158" s="117"/>
      <c r="D158" s="118">
        <v>38.5</v>
      </c>
      <c r="E158" s="119">
        <v>39.5</v>
      </c>
      <c r="F158" s="120">
        <v>167.5</v>
      </c>
      <c r="G158" s="121">
        <v>1175</v>
      </c>
      <c r="H158" s="82" t="s">
        <v>57</v>
      </c>
      <c r="I158" s="122"/>
    </row>
    <row r="159" spans="1:9" x14ac:dyDescent="0.25">
      <c r="C159" s="3"/>
      <c r="D159" s="3"/>
      <c r="E159" s="3"/>
      <c r="F159" s="3"/>
      <c r="G159" s="3"/>
      <c r="H159" s="3"/>
      <c r="I159" s="3"/>
    </row>
    <row r="160" spans="1:9" x14ac:dyDescent="0.25">
      <c r="C160" s="3"/>
      <c r="D160" s="3"/>
      <c r="E160" s="3"/>
      <c r="F160" s="3"/>
      <c r="G160" s="3"/>
      <c r="H160" s="3"/>
      <c r="I160" s="3"/>
    </row>
    <row r="161" spans="1:9" x14ac:dyDescent="0.25">
      <c r="C161" s="3"/>
      <c r="D161" s="3"/>
      <c r="E161" s="3"/>
      <c r="F161" s="3"/>
      <c r="G161" s="3"/>
      <c r="H161" s="3"/>
      <c r="I161" s="3"/>
    </row>
    <row r="162" spans="1:9" x14ac:dyDescent="0.25">
      <c r="B162" s="1" t="s">
        <v>0</v>
      </c>
      <c r="C162" s="2"/>
      <c r="F162" s="3"/>
      <c r="G162" s="2"/>
      <c r="H162" s="4"/>
      <c r="I162" s="5"/>
    </row>
    <row r="163" spans="1:9" x14ac:dyDescent="0.25">
      <c r="A163" s="2"/>
      <c r="B163" s="2"/>
      <c r="C163" s="6"/>
      <c r="D163" s="7" t="s">
        <v>108</v>
      </c>
      <c r="I163" s="8">
        <v>0.5</v>
      </c>
    </row>
    <row r="164" spans="1:9" ht="16.5" thickBot="1" x14ac:dyDescent="0.3">
      <c r="A164" s="248" t="s">
        <v>161</v>
      </c>
      <c r="B164" s="4"/>
      <c r="E164" s="3"/>
      <c r="F164" s="9" t="s">
        <v>2</v>
      </c>
      <c r="G164" t="s">
        <v>3</v>
      </c>
      <c r="H164" s="10"/>
      <c r="I164" s="10"/>
    </row>
    <row r="165" spans="1:9" ht="15.75" thickBot="1" x14ac:dyDescent="0.3">
      <c r="A165" s="11" t="s">
        <v>4</v>
      </c>
      <c r="B165" s="12"/>
      <c r="C165" s="13" t="s">
        <v>5</v>
      </c>
      <c r="D165" s="14" t="s">
        <v>6</v>
      </c>
      <c r="E165" s="14"/>
      <c r="F165" s="14"/>
      <c r="G165" s="15" t="s">
        <v>7</v>
      </c>
      <c r="H165" s="16" t="s">
        <v>8</v>
      </c>
      <c r="I165" s="17" t="s">
        <v>9</v>
      </c>
    </row>
    <row r="166" spans="1:9" x14ac:dyDescent="0.25">
      <c r="A166" s="249" t="s">
        <v>10</v>
      </c>
      <c r="B166" s="19" t="s">
        <v>11</v>
      </c>
      <c r="C166" s="20" t="s">
        <v>12</v>
      </c>
      <c r="D166" s="21" t="s">
        <v>13</v>
      </c>
      <c r="E166" s="21" t="s">
        <v>14</v>
      </c>
      <c r="F166" s="21" t="s">
        <v>15</v>
      </c>
      <c r="G166" s="22" t="s">
        <v>16</v>
      </c>
      <c r="H166" s="23" t="s">
        <v>17</v>
      </c>
      <c r="I166" s="24" t="s">
        <v>18</v>
      </c>
    </row>
    <row r="167" spans="1:9" ht="15.75" thickBot="1" x14ac:dyDescent="0.3">
      <c r="A167" s="25"/>
      <c r="B167" s="26"/>
      <c r="C167" s="27"/>
      <c r="D167" s="28" t="s">
        <v>19</v>
      </c>
      <c r="E167" s="28" t="s">
        <v>20</v>
      </c>
      <c r="F167" s="28" t="s">
        <v>21</v>
      </c>
      <c r="G167" s="29" t="s">
        <v>22</v>
      </c>
      <c r="H167" s="30" t="s">
        <v>23</v>
      </c>
      <c r="I167" s="31" t="s">
        <v>24</v>
      </c>
    </row>
    <row r="168" spans="1:9" x14ac:dyDescent="0.25">
      <c r="A168" s="12"/>
      <c r="B168" s="250" t="s">
        <v>25</v>
      </c>
      <c r="C168" s="33"/>
      <c r="D168" s="34"/>
      <c r="E168" s="35"/>
      <c r="F168" s="35"/>
      <c r="G168" s="36"/>
      <c r="H168" s="123"/>
      <c r="I168" s="251"/>
    </row>
    <row r="169" spans="1:9" x14ac:dyDescent="0.25">
      <c r="A169" s="39" t="s">
        <v>26</v>
      </c>
      <c r="B169" s="252" t="s">
        <v>120</v>
      </c>
      <c r="C169" s="253" t="s">
        <v>173</v>
      </c>
      <c r="D169" s="182">
        <v>7.2830000000000004</v>
      </c>
      <c r="E169" s="58">
        <v>6.3440000000000003</v>
      </c>
      <c r="F169" s="182">
        <v>10.093</v>
      </c>
      <c r="G169" s="140">
        <f>F169*4+E169*9+D169*4</f>
        <v>126.60000000000001</v>
      </c>
      <c r="H169" s="212">
        <v>3</v>
      </c>
      <c r="I169" s="213" t="s">
        <v>61</v>
      </c>
    </row>
    <row r="170" spans="1:9" x14ac:dyDescent="0.25">
      <c r="A170" s="47" t="s">
        <v>110</v>
      </c>
      <c r="B170" s="233" t="s">
        <v>111</v>
      </c>
      <c r="C170" s="89">
        <v>15</v>
      </c>
      <c r="D170" s="42">
        <v>3.84</v>
      </c>
      <c r="E170" s="43">
        <v>3.915</v>
      </c>
      <c r="F170" s="43">
        <v>0</v>
      </c>
      <c r="G170" s="44">
        <f>F170*4+E170*9+D170*4</f>
        <v>50.594999999999999</v>
      </c>
      <c r="H170" s="151">
        <v>43</v>
      </c>
      <c r="I170" s="234" t="s">
        <v>112</v>
      </c>
    </row>
    <row r="171" spans="1:9" ht="15.75" x14ac:dyDescent="0.25">
      <c r="A171" s="50" t="s">
        <v>32</v>
      </c>
      <c r="B171" s="51" t="s">
        <v>60</v>
      </c>
      <c r="C171" s="41">
        <v>200</v>
      </c>
      <c r="D171" s="42">
        <v>7.0000000000000007E-2</v>
      </c>
      <c r="E171" s="43">
        <v>0.02</v>
      </c>
      <c r="F171" s="43">
        <v>15</v>
      </c>
      <c r="G171" s="130">
        <f>F171*4+E171*9+D171*4</f>
        <v>60.46</v>
      </c>
      <c r="H171" s="131">
        <v>54</v>
      </c>
      <c r="I171" s="53" t="s">
        <v>61</v>
      </c>
    </row>
    <row r="172" spans="1:9" x14ac:dyDescent="0.25">
      <c r="A172" s="54" t="s">
        <v>121</v>
      </c>
      <c r="B172" s="51" t="s">
        <v>33</v>
      </c>
      <c r="C172" s="41">
        <v>30</v>
      </c>
      <c r="D172" s="42">
        <v>1.53</v>
      </c>
      <c r="E172" s="43">
        <v>0.255</v>
      </c>
      <c r="F172" s="43">
        <v>15.276999999999999</v>
      </c>
      <c r="G172" s="44">
        <f>F172*4+E172*9+D172*4</f>
        <v>69.522999999999996</v>
      </c>
      <c r="H172" s="52">
        <v>45</v>
      </c>
      <c r="I172" s="53" t="s">
        <v>34</v>
      </c>
    </row>
    <row r="173" spans="1:9" ht="15.75" thickBot="1" x14ac:dyDescent="0.3">
      <c r="A173" s="77"/>
      <c r="B173" s="132" t="s">
        <v>37</v>
      </c>
      <c r="C173" s="62">
        <v>120</v>
      </c>
      <c r="D173" s="63">
        <v>0.48</v>
      </c>
      <c r="E173" s="64">
        <v>0.48</v>
      </c>
      <c r="F173" s="65">
        <v>11.76</v>
      </c>
      <c r="G173" s="66">
        <f>F173*4+E173*9+D173*4</f>
        <v>53.28</v>
      </c>
      <c r="H173" s="67">
        <v>48</v>
      </c>
      <c r="I173" s="68" t="s">
        <v>38</v>
      </c>
    </row>
    <row r="174" spans="1:9" x14ac:dyDescent="0.25">
      <c r="A174" s="69" t="s">
        <v>39</v>
      </c>
      <c r="C174" s="70"/>
      <c r="D174" s="197">
        <f>SUM(D169:D173)</f>
        <v>13.203000000000001</v>
      </c>
      <c r="E174" s="215">
        <f>SUM(E169:E173)</f>
        <v>11.014000000000001</v>
      </c>
      <c r="F174" s="198">
        <f>SUM(F169:F173)</f>
        <v>52.129999999999995</v>
      </c>
      <c r="G174" s="216">
        <f>SUM(G169:G173)</f>
        <v>360.45799999999997</v>
      </c>
      <c r="H174" s="75" t="s">
        <v>40</v>
      </c>
      <c r="I174" s="76"/>
    </row>
    <row r="175" spans="1:9" ht="15.75" thickBot="1" x14ac:dyDescent="0.3">
      <c r="A175" s="77"/>
      <c r="C175" s="3"/>
      <c r="D175" s="78"/>
      <c r="E175" s="254"/>
      <c r="F175" s="79"/>
      <c r="G175" s="81"/>
      <c r="H175" s="82" t="s">
        <v>41</v>
      </c>
      <c r="I175" s="83">
        <f>C170+C171+C172+C173+180+20</f>
        <v>565</v>
      </c>
    </row>
    <row r="176" spans="1:9" x14ac:dyDescent="0.25">
      <c r="A176" s="77"/>
      <c r="B176" s="32" t="s">
        <v>42</v>
      </c>
      <c r="C176" s="200"/>
      <c r="D176" s="84"/>
      <c r="E176" s="85"/>
      <c r="F176" s="85"/>
      <c r="G176" s="86"/>
      <c r="H176" s="87"/>
      <c r="I176" s="87"/>
    </row>
    <row r="177" spans="1:9" x14ac:dyDescent="0.25">
      <c r="A177" s="77"/>
      <c r="B177" s="255" t="s">
        <v>122</v>
      </c>
      <c r="C177" s="241">
        <v>200</v>
      </c>
      <c r="D177" s="42">
        <v>4.1059999999999999</v>
      </c>
      <c r="E177" s="43">
        <v>5.0819999999999999</v>
      </c>
      <c r="F177" s="43">
        <v>10.67</v>
      </c>
      <c r="G177" s="44">
        <f t="shared" ref="G177:G181" si="15">F177*4+E177*9+D177*4</f>
        <v>104.84200000000001</v>
      </c>
      <c r="H177" s="256">
        <v>14</v>
      </c>
      <c r="I177" s="100" t="s">
        <v>123</v>
      </c>
    </row>
    <row r="178" spans="1:9" x14ac:dyDescent="0.25">
      <c r="A178" s="77"/>
      <c r="B178" s="252" t="s">
        <v>124</v>
      </c>
      <c r="C178" s="241" t="s">
        <v>178</v>
      </c>
      <c r="D178" s="42">
        <v>8.08</v>
      </c>
      <c r="E178" s="43">
        <v>7.0860000000000003</v>
      </c>
      <c r="F178" s="43">
        <v>12.94</v>
      </c>
      <c r="G178" s="44">
        <f t="shared" si="15"/>
        <v>147.85399999999998</v>
      </c>
      <c r="H178" s="257">
        <v>26</v>
      </c>
      <c r="I178" s="49" t="s">
        <v>126</v>
      </c>
    </row>
    <row r="179" spans="1:9" x14ac:dyDescent="0.25">
      <c r="A179" s="77"/>
      <c r="B179" s="252" t="s">
        <v>127</v>
      </c>
      <c r="C179" s="258" t="s">
        <v>179</v>
      </c>
      <c r="D179" s="125">
        <v>2.48</v>
      </c>
      <c r="E179" s="126">
        <v>7.3259999999999996</v>
      </c>
      <c r="F179" s="127">
        <v>14.388999999999999</v>
      </c>
      <c r="G179" s="59">
        <f t="shared" si="15"/>
        <v>133.41</v>
      </c>
      <c r="H179" s="206">
        <v>30</v>
      </c>
      <c r="I179" s="49" t="s">
        <v>129</v>
      </c>
    </row>
    <row r="180" spans="1:9" x14ac:dyDescent="0.25">
      <c r="A180" s="77"/>
      <c r="B180" s="259" t="s">
        <v>130</v>
      </c>
      <c r="C180" s="260"/>
      <c r="D180" s="95">
        <v>1.4419999999999999</v>
      </c>
      <c r="E180" s="96">
        <v>1.2250000000000001</v>
      </c>
      <c r="F180" s="97">
        <v>2.742</v>
      </c>
      <c r="G180" s="98">
        <f t="shared" si="15"/>
        <v>27.761000000000003</v>
      </c>
      <c r="H180" s="208"/>
      <c r="I180" s="100" t="s">
        <v>69</v>
      </c>
    </row>
    <row r="181" spans="1:9" x14ac:dyDescent="0.25">
      <c r="A181" s="77"/>
      <c r="B181" s="259" t="s">
        <v>50</v>
      </c>
      <c r="C181" s="171">
        <v>200</v>
      </c>
      <c r="D181" s="42">
        <v>1</v>
      </c>
      <c r="E181" s="43">
        <v>0</v>
      </c>
      <c r="F181" s="43">
        <v>20.92</v>
      </c>
      <c r="G181" s="44">
        <f t="shared" si="15"/>
        <v>87.68</v>
      </c>
      <c r="H181" s="151">
        <v>49</v>
      </c>
      <c r="I181" s="53" t="s">
        <v>51</v>
      </c>
    </row>
    <row r="182" spans="1:9" x14ac:dyDescent="0.25">
      <c r="A182" s="77"/>
      <c r="B182" s="51" t="s">
        <v>33</v>
      </c>
      <c r="C182" s="41">
        <v>30</v>
      </c>
      <c r="D182" s="42">
        <v>1.53</v>
      </c>
      <c r="E182" s="43">
        <v>0.255</v>
      </c>
      <c r="F182" s="43">
        <v>15.276999999999999</v>
      </c>
      <c r="G182" s="44">
        <f>F182*4+E182*9+D182*4</f>
        <v>69.522999999999996</v>
      </c>
      <c r="H182" s="52">
        <v>45</v>
      </c>
      <c r="I182" s="53" t="s">
        <v>34</v>
      </c>
    </row>
    <row r="183" spans="1:9" ht="15.75" thickBot="1" x14ac:dyDescent="0.3">
      <c r="A183" s="161"/>
      <c r="B183" s="55" t="s">
        <v>52</v>
      </c>
      <c r="C183" s="62">
        <v>30</v>
      </c>
      <c r="D183" s="57">
        <v>1.6950000000000001</v>
      </c>
      <c r="E183" s="58">
        <v>0.36</v>
      </c>
      <c r="F183" s="58">
        <v>13.555999999999999</v>
      </c>
      <c r="G183" s="59">
        <f>F183*4+E183*9+D183*4</f>
        <v>64.244</v>
      </c>
      <c r="H183" s="52">
        <v>46</v>
      </c>
      <c r="I183" s="165" t="s">
        <v>34</v>
      </c>
    </row>
    <row r="184" spans="1:9" ht="15.75" thickBot="1" x14ac:dyDescent="0.3">
      <c r="A184" s="101" t="s">
        <v>53</v>
      </c>
      <c r="B184" s="102"/>
      <c r="C184" s="103"/>
      <c r="D184" s="222">
        <f>SUM(D177:D183)</f>
        <v>20.333000000000002</v>
      </c>
      <c r="E184" s="223">
        <f>SUM(E177:E183)</f>
        <v>21.334</v>
      </c>
      <c r="F184" s="198">
        <f>SUM(F177:F183)</f>
        <v>90.493999999999986</v>
      </c>
      <c r="G184" s="223">
        <f>SUM(G177:G183)</f>
        <v>635.31400000000008</v>
      </c>
      <c r="H184" s="107" t="s">
        <v>40</v>
      </c>
      <c r="I184" s="76"/>
    </row>
    <row r="185" spans="1:9" ht="15.75" thickBot="1" x14ac:dyDescent="0.3">
      <c r="A185" s="108"/>
      <c r="B185" s="102" t="s">
        <v>54</v>
      </c>
      <c r="C185" s="109"/>
      <c r="D185" s="178">
        <f>D174+D184</f>
        <v>33.536000000000001</v>
      </c>
      <c r="E185" s="179">
        <f t="shared" ref="E185:F185" si="16">E174+E184</f>
        <v>32.347999999999999</v>
      </c>
      <c r="F185" s="179">
        <f t="shared" si="16"/>
        <v>142.62399999999997</v>
      </c>
      <c r="G185" s="180">
        <f>G174+G184</f>
        <v>995.77200000000005</v>
      </c>
      <c r="H185" s="113" t="s">
        <v>55</v>
      </c>
      <c r="I185" s="114">
        <f>C177+C181+C182+C183+90+20+120+50</f>
        <v>740</v>
      </c>
    </row>
    <row r="186" spans="1:9" ht="15.75" thickBot="1" x14ac:dyDescent="0.3">
      <c r="A186" s="115"/>
      <c r="B186" s="116" t="s">
        <v>56</v>
      </c>
      <c r="C186" s="117"/>
      <c r="D186" s="118">
        <v>38.5</v>
      </c>
      <c r="E186" s="119">
        <v>39.5</v>
      </c>
      <c r="F186" s="120">
        <v>167.5</v>
      </c>
      <c r="G186" s="121">
        <v>1175</v>
      </c>
      <c r="H186" s="82" t="s">
        <v>57</v>
      </c>
      <c r="I186" s="122"/>
    </row>
    <row r="187" spans="1:9" ht="15.75" thickBot="1" x14ac:dyDescent="0.3">
      <c r="C187" s="3"/>
      <c r="D187" s="3"/>
      <c r="E187" s="3"/>
      <c r="F187" s="3"/>
      <c r="G187" s="3"/>
      <c r="H187" s="3"/>
      <c r="I187" s="3"/>
    </row>
    <row r="188" spans="1:9" ht="15.75" thickBot="1" x14ac:dyDescent="0.3">
      <c r="A188" s="11" t="s">
        <v>4</v>
      </c>
      <c r="B188" s="12"/>
      <c r="C188" s="13" t="s">
        <v>5</v>
      </c>
      <c r="D188" s="14" t="s">
        <v>6</v>
      </c>
      <c r="E188" s="14"/>
      <c r="F188" s="14"/>
      <c r="G188" s="15" t="s">
        <v>7</v>
      </c>
      <c r="H188" s="16" t="s">
        <v>8</v>
      </c>
      <c r="I188" s="17" t="s">
        <v>9</v>
      </c>
    </row>
    <row r="189" spans="1:9" x14ac:dyDescent="0.25">
      <c r="A189" s="18" t="s">
        <v>10</v>
      </c>
      <c r="B189" s="19" t="s">
        <v>11</v>
      </c>
      <c r="C189" s="20" t="s">
        <v>12</v>
      </c>
      <c r="D189" s="21" t="s">
        <v>13</v>
      </c>
      <c r="E189" s="21" t="s">
        <v>14</v>
      </c>
      <c r="F189" s="21" t="s">
        <v>15</v>
      </c>
      <c r="G189" s="22" t="s">
        <v>16</v>
      </c>
      <c r="H189" s="23" t="s">
        <v>17</v>
      </c>
      <c r="I189" s="24" t="s">
        <v>18</v>
      </c>
    </row>
    <row r="190" spans="1:9" ht="15.75" thickBot="1" x14ac:dyDescent="0.3">
      <c r="A190" s="25"/>
      <c r="B190" s="26"/>
      <c r="C190" s="27"/>
      <c r="D190" s="28" t="s">
        <v>19</v>
      </c>
      <c r="E190" s="28" t="s">
        <v>20</v>
      </c>
      <c r="F190" s="28" t="s">
        <v>21</v>
      </c>
      <c r="G190" s="29" t="s">
        <v>22</v>
      </c>
      <c r="H190" s="228" t="s">
        <v>23</v>
      </c>
      <c r="I190" s="31" t="s">
        <v>24</v>
      </c>
    </row>
    <row r="191" spans="1:9" x14ac:dyDescent="0.25">
      <c r="A191" s="12"/>
      <c r="B191" s="261" t="s">
        <v>25</v>
      </c>
      <c r="C191" s="262"/>
      <c r="D191" s="263"/>
      <c r="E191" s="264"/>
      <c r="F191" s="264"/>
      <c r="G191" s="265"/>
      <c r="H191" s="123"/>
      <c r="I191" s="38"/>
    </row>
    <row r="192" spans="1:9" x14ac:dyDescent="0.25">
      <c r="A192" s="39" t="s">
        <v>26</v>
      </c>
      <c r="B192" s="266" t="s">
        <v>83</v>
      </c>
      <c r="C192" s="56" t="s">
        <v>180</v>
      </c>
      <c r="D192" s="182">
        <v>22.48</v>
      </c>
      <c r="E192" s="58">
        <v>22.18</v>
      </c>
      <c r="F192" s="182">
        <v>42.22</v>
      </c>
      <c r="G192" s="140">
        <f>F192*4+E192*9+D192*4</f>
        <v>458.42</v>
      </c>
      <c r="H192" s="129">
        <v>40</v>
      </c>
      <c r="I192" s="49" t="s">
        <v>84</v>
      </c>
    </row>
    <row r="193" spans="1:9" x14ac:dyDescent="0.25">
      <c r="A193" s="47" t="s">
        <v>110</v>
      </c>
      <c r="B193" s="245" t="s">
        <v>85</v>
      </c>
      <c r="C193" s="143"/>
      <c r="D193" s="144"/>
      <c r="E193" s="145"/>
      <c r="F193" s="144"/>
      <c r="G193" s="146"/>
      <c r="H193" s="184"/>
      <c r="I193" s="185"/>
    </row>
    <row r="194" spans="1:9" ht="15.75" x14ac:dyDescent="0.25">
      <c r="A194" s="50" t="s">
        <v>32</v>
      </c>
      <c r="B194" s="244" t="s">
        <v>30</v>
      </c>
      <c r="C194" s="41">
        <v>200</v>
      </c>
      <c r="D194" s="42">
        <v>3.6</v>
      </c>
      <c r="E194" s="43">
        <v>2.67</v>
      </c>
      <c r="F194" s="43">
        <v>19.600000000000001</v>
      </c>
      <c r="G194" s="44">
        <f>F194*4+E194*9+D194*4</f>
        <v>116.83000000000001</v>
      </c>
      <c r="H194" s="48">
        <v>52</v>
      </c>
      <c r="I194" s="49" t="s">
        <v>31</v>
      </c>
    </row>
    <row r="195" spans="1:9" x14ac:dyDescent="0.25">
      <c r="A195" s="54" t="s">
        <v>132</v>
      </c>
      <c r="B195" s="233" t="s">
        <v>111</v>
      </c>
      <c r="C195" s="89">
        <v>15</v>
      </c>
      <c r="D195" s="42">
        <v>3.84</v>
      </c>
      <c r="E195" s="43">
        <v>3.915</v>
      </c>
      <c r="F195" s="43">
        <v>0</v>
      </c>
      <c r="G195" s="44">
        <f>F195*4+E195*9+D195*4</f>
        <v>50.594999999999999</v>
      </c>
      <c r="H195" s="151">
        <v>43</v>
      </c>
      <c r="I195" s="234" t="s">
        <v>112</v>
      </c>
    </row>
    <row r="196" spans="1:9" x14ac:dyDescent="0.25">
      <c r="A196" s="54"/>
      <c r="B196" s="51" t="s">
        <v>33</v>
      </c>
      <c r="C196" s="41">
        <v>30</v>
      </c>
      <c r="D196" s="42">
        <v>1.53</v>
      </c>
      <c r="E196" s="43">
        <v>0.255</v>
      </c>
      <c r="F196" s="43">
        <v>15.276999999999999</v>
      </c>
      <c r="G196" s="44">
        <f>F196*4+E196*9+D196*4</f>
        <v>69.522999999999996</v>
      </c>
      <c r="H196" s="52">
        <v>45</v>
      </c>
      <c r="I196" s="53" t="s">
        <v>34</v>
      </c>
    </row>
    <row r="197" spans="1:9" ht="15.75" thickBot="1" x14ac:dyDescent="0.3">
      <c r="A197" s="77"/>
      <c r="B197" s="267" t="s">
        <v>37</v>
      </c>
      <c r="C197" s="190">
        <v>130</v>
      </c>
      <c r="D197" s="191">
        <v>0.52</v>
      </c>
      <c r="E197" s="192">
        <v>0.52</v>
      </c>
      <c r="F197" s="193">
        <v>12.74</v>
      </c>
      <c r="G197" s="194">
        <f>F197*4+E197*9+D197*4</f>
        <v>57.72</v>
      </c>
      <c r="H197" s="195">
        <v>48</v>
      </c>
      <c r="I197" s="196" t="s">
        <v>38</v>
      </c>
    </row>
    <row r="198" spans="1:9" x14ac:dyDescent="0.25">
      <c r="A198" s="69" t="s">
        <v>39</v>
      </c>
      <c r="C198" s="70"/>
      <c r="D198" s="197">
        <f>SUM(D192:D197)</f>
        <v>31.970000000000002</v>
      </c>
      <c r="E198" s="198">
        <f>SUM(E192:E197)</f>
        <v>29.54</v>
      </c>
      <c r="F198" s="238">
        <f>SUM(F192:F197)</f>
        <v>89.836999999999989</v>
      </c>
      <c r="G198" s="216">
        <f>SUM(G192:G197)</f>
        <v>753.08800000000008</v>
      </c>
      <c r="H198" s="239" t="s">
        <v>40</v>
      </c>
      <c r="I198" s="76"/>
    </row>
    <row r="199" spans="1:9" ht="15.75" thickBot="1" x14ac:dyDescent="0.3">
      <c r="A199" s="77"/>
      <c r="C199" s="3"/>
      <c r="D199" s="78"/>
      <c r="E199" s="79"/>
      <c r="F199" s="79"/>
      <c r="G199" s="81"/>
      <c r="H199" s="82" t="s">
        <v>41</v>
      </c>
      <c r="I199" s="83">
        <f>C194+C195+C197+135+25</f>
        <v>505</v>
      </c>
    </row>
    <row r="200" spans="1:9" x14ac:dyDescent="0.25">
      <c r="A200" s="77"/>
      <c r="B200" s="32" t="s">
        <v>42</v>
      </c>
      <c r="C200" s="200"/>
      <c r="D200" s="84"/>
      <c r="E200" s="85"/>
      <c r="F200" s="85"/>
      <c r="G200" s="86"/>
      <c r="H200" s="87"/>
      <c r="I200" s="87"/>
    </row>
    <row r="201" spans="1:9" x14ac:dyDescent="0.25">
      <c r="A201" s="77"/>
      <c r="B201" s="244" t="s">
        <v>133</v>
      </c>
      <c r="C201" s="268">
        <v>200</v>
      </c>
      <c r="D201" s="269">
        <v>3.9060000000000001</v>
      </c>
      <c r="E201" s="270">
        <v>4.97</v>
      </c>
      <c r="F201" s="269">
        <v>7.4119999999999999</v>
      </c>
      <c r="G201" s="44">
        <f t="shared" ref="G201:G206" si="17">F201*4+E201*9+D201*4</f>
        <v>90.001999999999995</v>
      </c>
      <c r="H201" s="45">
        <v>15</v>
      </c>
      <c r="I201" s="53" t="s">
        <v>134</v>
      </c>
    </row>
    <row r="202" spans="1:9" x14ac:dyDescent="0.25">
      <c r="A202" s="77"/>
      <c r="B202" s="244" t="s">
        <v>64</v>
      </c>
      <c r="C202" s="41" t="s">
        <v>165</v>
      </c>
      <c r="D202" s="42">
        <v>8.2669999999999995</v>
      </c>
      <c r="E202" s="43">
        <v>6.3642000000000003</v>
      </c>
      <c r="F202" s="43">
        <v>10.653</v>
      </c>
      <c r="G202" s="44">
        <f t="shared" si="17"/>
        <v>132.95780000000002</v>
      </c>
      <c r="H202" s="45">
        <v>29</v>
      </c>
      <c r="I202" s="53" t="s">
        <v>65</v>
      </c>
    </row>
    <row r="203" spans="1:9" x14ac:dyDescent="0.25">
      <c r="A203" s="77"/>
      <c r="B203" s="266" t="s">
        <v>135</v>
      </c>
      <c r="C203" s="258" t="s">
        <v>181</v>
      </c>
      <c r="D203" s="271">
        <v>2.9950000000000001</v>
      </c>
      <c r="E203" s="272">
        <v>4.87</v>
      </c>
      <c r="F203" s="273">
        <v>26.93</v>
      </c>
      <c r="G203" s="221">
        <f t="shared" si="17"/>
        <v>163.53</v>
      </c>
      <c r="H203" s="48">
        <v>33</v>
      </c>
      <c r="I203" s="49" t="s">
        <v>136</v>
      </c>
    </row>
    <row r="204" spans="1:9" x14ac:dyDescent="0.25">
      <c r="A204" s="77"/>
      <c r="B204" s="245" t="s">
        <v>137</v>
      </c>
      <c r="C204" s="274"/>
      <c r="D204" s="275">
        <v>1.4219999999999999</v>
      </c>
      <c r="E204" s="276">
        <v>0.83299999999999996</v>
      </c>
      <c r="F204" s="277">
        <v>13.723000000000001</v>
      </c>
      <c r="G204" s="278">
        <f t="shared" si="17"/>
        <v>68.076999999999998</v>
      </c>
      <c r="H204" s="99"/>
      <c r="I204" s="100" t="s">
        <v>69</v>
      </c>
    </row>
    <row r="205" spans="1:9" x14ac:dyDescent="0.25">
      <c r="A205" s="77"/>
      <c r="B205" s="245" t="s">
        <v>70</v>
      </c>
      <c r="C205" s="279">
        <v>200</v>
      </c>
      <c r="D205" s="42">
        <v>0.66200000000000003</v>
      </c>
      <c r="E205" s="43">
        <v>0.09</v>
      </c>
      <c r="F205" s="43">
        <v>29.393999999999998</v>
      </c>
      <c r="G205" s="44">
        <f t="shared" si="17"/>
        <v>121.03399999999999</v>
      </c>
      <c r="H205" s="280">
        <v>50</v>
      </c>
      <c r="I205" s="53" t="s">
        <v>71</v>
      </c>
    </row>
    <row r="206" spans="1:9" x14ac:dyDescent="0.25">
      <c r="A206" s="77"/>
      <c r="B206" s="244" t="s">
        <v>33</v>
      </c>
      <c r="C206" s="41">
        <v>40</v>
      </c>
      <c r="D206" s="42">
        <v>2.04</v>
      </c>
      <c r="E206" s="43">
        <v>0.34</v>
      </c>
      <c r="F206" s="43">
        <v>19.036000000000001</v>
      </c>
      <c r="G206" s="44">
        <f t="shared" si="17"/>
        <v>87.364000000000004</v>
      </c>
      <c r="H206" s="52">
        <v>45</v>
      </c>
      <c r="I206" s="53" t="s">
        <v>34</v>
      </c>
    </row>
    <row r="207" spans="1:9" ht="15.75" thickBot="1" x14ac:dyDescent="0.3">
      <c r="A207" s="77"/>
      <c r="B207" s="281" t="s">
        <v>52</v>
      </c>
      <c r="C207" s="62">
        <v>30</v>
      </c>
      <c r="D207" s="57">
        <v>1.6950000000000001</v>
      </c>
      <c r="E207" s="58">
        <v>0.36</v>
      </c>
      <c r="F207" s="58">
        <v>13.555999999999999</v>
      </c>
      <c r="G207" s="59">
        <f>F207*4+E207*9+D207*4</f>
        <v>64.244</v>
      </c>
      <c r="H207" s="282">
        <v>46</v>
      </c>
      <c r="I207" s="53" t="s">
        <v>34</v>
      </c>
    </row>
    <row r="208" spans="1:9" ht="15.75" thickBot="1" x14ac:dyDescent="0.3">
      <c r="A208" s="101" t="s">
        <v>53</v>
      </c>
      <c r="B208" s="102"/>
      <c r="C208" s="103"/>
      <c r="D208" s="222">
        <f>SUM(D201:D207)</f>
        <v>20.986999999999998</v>
      </c>
      <c r="E208" s="223">
        <f>SUM(E201:E207)</f>
        <v>17.827199999999998</v>
      </c>
      <c r="F208" s="198">
        <f>SUM(F201:F207)</f>
        <v>120.70399999999999</v>
      </c>
      <c r="G208" s="283">
        <f>SUM(G201:G207)</f>
        <v>727.20880000000011</v>
      </c>
      <c r="H208" s="107" t="s">
        <v>40</v>
      </c>
      <c r="I208" s="76"/>
    </row>
    <row r="209" spans="1:9" ht="15.75" thickBot="1" x14ac:dyDescent="0.3">
      <c r="A209" s="108"/>
      <c r="B209" s="102" t="s">
        <v>54</v>
      </c>
      <c r="C209" s="109"/>
      <c r="D209" s="178">
        <f>D198+D208</f>
        <v>52.957000000000001</v>
      </c>
      <c r="E209" s="179">
        <f>E198+E208</f>
        <v>47.367199999999997</v>
      </c>
      <c r="F209" s="179">
        <f>F198+F208</f>
        <v>210.541</v>
      </c>
      <c r="G209" s="180">
        <f>G198+G208</f>
        <v>1480.2968000000001</v>
      </c>
      <c r="H209" s="113" t="s">
        <v>55</v>
      </c>
      <c r="I209" s="114">
        <f>C201+C205+C206+C207+80+15+90+60</f>
        <v>715</v>
      </c>
    </row>
    <row r="210" spans="1:9" ht="15.75" thickBot="1" x14ac:dyDescent="0.3">
      <c r="A210" s="115"/>
      <c r="B210" s="116" t="s">
        <v>56</v>
      </c>
      <c r="C210" s="117"/>
      <c r="D210" s="118">
        <v>38.5</v>
      </c>
      <c r="E210" s="119">
        <v>39.5</v>
      </c>
      <c r="F210" s="120">
        <v>167.5</v>
      </c>
      <c r="G210" s="121">
        <v>1175</v>
      </c>
      <c r="H210" s="82" t="s">
        <v>57</v>
      </c>
      <c r="I210" s="122"/>
    </row>
    <row r="211" spans="1:9" x14ac:dyDescent="0.25">
      <c r="C211" s="3"/>
      <c r="D211" s="3"/>
      <c r="E211" s="3"/>
      <c r="F211" s="3"/>
      <c r="G211" s="3"/>
      <c r="H211" s="3"/>
      <c r="I211" s="3"/>
    </row>
    <row r="212" spans="1:9" x14ac:dyDescent="0.25">
      <c r="C212" s="3"/>
      <c r="D212" s="3"/>
      <c r="E212" s="3"/>
      <c r="F212" s="3"/>
      <c r="G212" s="3"/>
      <c r="H212" s="3"/>
      <c r="I212" s="3"/>
    </row>
    <row r="213" spans="1:9" x14ac:dyDescent="0.25">
      <c r="C213" s="3"/>
      <c r="D213" s="3"/>
      <c r="E213" s="3"/>
      <c r="F213" s="3"/>
      <c r="G213" s="3"/>
      <c r="H213" s="3"/>
      <c r="I213" s="3"/>
    </row>
    <row r="214" spans="1:9" x14ac:dyDescent="0.25">
      <c r="C214" s="3"/>
      <c r="D214" s="3"/>
      <c r="E214" s="3"/>
      <c r="F214" s="3"/>
      <c r="G214" s="3"/>
      <c r="H214" s="3"/>
      <c r="I214" s="3"/>
    </row>
    <row r="215" spans="1:9" x14ac:dyDescent="0.25">
      <c r="C215" s="3"/>
      <c r="D215" s="3"/>
      <c r="E215" s="3"/>
      <c r="F215" s="3"/>
      <c r="G215" s="3"/>
      <c r="H215" s="3"/>
      <c r="I215" s="3"/>
    </row>
    <row r="216" spans="1:9" x14ac:dyDescent="0.25">
      <c r="B216" s="1" t="s">
        <v>0</v>
      </c>
      <c r="C216" s="2"/>
      <c r="F216" s="3"/>
      <c r="G216" s="2"/>
      <c r="H216" s="4"/>
      <c r="I216" s="5"/>
    </row>
    <row r="217" spans="1:9" x14ac:dyDescent="0.25">
      <c r="A217" s="2"/>
      <c r="B217" s="2"/>
      <c r="C217" s="6"/>
      <c r="D217" s="7" t="s">
        <v>108</v>
      </c>
      <c r="I217" s="8">
        <v>0.5</v>
      </c>
    </row>
    <row r="218" spans="1:9" ht="16.5" thickBot="1" x14ac:dyDescent="0.3">
      <c r="A218" s="9" t="s">
        <v>182</v>
      </c>
      <c r="B218" s="4"/>
      <c r="E218" s="3"/>
      <c r="F218" s="9" t="s">
        <v>2</v>
      </c>
      <c r="G218" t="s">
        <v>3</v>
      </c>
      <c r="H218" s="10"/>
      <c r="I218" s="10"/>
    </row>
    <row r="219" spans="1:9" ht="15.75" thickBot="1" x14ac:dyDescent="0.3">
      <c r="A219" s="11" t="s">
        <v>4</v>
      </c>
      <c r="B219" s="12"/>
      <c r="C219" s="13" t="s">
        <v>5</v>
      </c>
      <c r="D219" s="14" t="s">
        <v>6</v>
      </c>
      <c r="E219" s="14"/>
      <c r="F219" s="14"/>
      <c r="G219" s="15" t="s">
        <v>7</v>
      </c>
      <c r="H219" s="16" t="s">
        <v>8</v>
      </c>
      <c r="I219" s="17" t="s">
        <v>9</v>
      </c>
    </row>
    <row r="220" spans="1:9" x14ac:dyDescent="0.25">
      <c r="A220" s="18" t="s">
        <v>10</v>
      </c>
      <c r="B220" s="19" t="s">
        <v>11</v>
      </c>
      <c r="C220" s="20" t="s">
        <v>12</v>
      </c>
      <c r="D220" s="21" t="s">
        <v>13</v>
      </c>
      <c r="E220" s="21" t="s">
        <v>14</v>
      </c>
      <c r="F220" s="21" t="s">
        <v>15</v>
      </c>
      <c r="G220" s="22" t="s">
        <v>16</v>
      </c>
      <c r="H220" s="23" t="s">
        <v>17</v>
      </c>
      <c r="I220" s="24" t="s">
        <v>18</v>
      </c>
    </row>
    <row r="221" spans="1:9" ht="15.75" thickBot="1" x14ac:dyDescent="0.3">
      <c r="A221" s="25"/>
      <c r="B221" s="26"/>
      <c r="C221" s="27"/>
      <c r="D221" s="28" t="s">
        <v>19</v>
      </c>
      <c r="E221" s="28" t="s">
        <v>20</v>
      </c>
      <c r="F221" s="28" t="s">
        <v>21</v>
      </c>
      <c r="G221" s="29" t="s">
        <v>22</v>
      </c>
      <c r="H221" s="30" t="s">
        <v>23</v>
      </c>
      <c r="I221" s="31" t="s">
        <v>24</v>
      </c>
    </row>
    <row r="222" spans="1:9" x14ac:dyDescent="0.25">
      <c r="A222" s="12"/>
      <c r="B222" s="250" t="s">
        <v>25</v>
      </c>
      <c r="C222" s="33"/>
      <c r="D222" s="34"/>
      <c r="E222" s="35"/>
      <c r="F222" s="35"/>
      <c r="G222" s="36"/>
      <c r="H222" s="123"/>
      <c r="I222" s="38"/>
    </row>
    <row r="223" spans="1:9" x14ac:dyDescent="0.25">
      <c r="A223" s="39" t="s">
        <v>26</v>
      </c>
      <c r="B223" s="186" t="s">
        <v>138</v>
      </c>
      <c r="C223" s="232">
        <v>200</v>
      </c>
      <c r="D223" s="158">
        <v>5.8150000000000004</v>
      </c>
      <c r="E223" s="43">
        <v>8.2929999999999993</v>
      </c>
      <c r="F223" s="43">
        <v>21.074000000000002</v>
      </c>
      <c r="G223" s="44">
        <f>F223*4+E223*9+D223*4</f>
        <v>182.19299999999998</v>
      </c>
      <c r="H223" s="151">
        <v>2</v>
      </c>
      <c r="I223" s="53" t="s">
        <v>139</v>
      </c>
    </row>
    <row r="224" spans="1:9" x14ac:dyDescent="0.25">
      <c r="A224" s="47" t="s">
        <v>110</v>
      </c>
      <c r="B224" s="51" t="s">
        <v>74</v>
      </c>
      <c r="C224" s="41">
        <v>200</v>
      </c>
      <c r="D224" s="42">
        <v>3.8</v>
      </c>
      <c r="E224" s="43">
        <v>3</v>
      </c>
      <c r="F224" s="43">
        <v>23</v>
      </c>
      <c r="G224" s="44">
        <f>F224*4+E224*9+D224*4</f>
        <v>134.19999999999999</v>
      </c>
      <c r="H224" s="131">
        <v>53</v>
      </c>
      <c r="I224" s="53" t="s">
        <v>75</v>
      </c>
    </row>
    <row r="225" spans="1:9" ht="15.75" x14ac:dyDescent="0.25">
      <c r="A225" s="50" t="s">
        <v>32</v>
      </c>
      <c r="B225" s="51" t="s">
        <v>33</v>
      </c>
      <c r="C225" s="41">
        <v>30</v>
      </c>
      <c r="D225" s="42">
        <v>1.53</v>
      </c>
      <c r="E225" s="43">
        <v>0.255</v>
      </c>
      <c r="F225" s="43">
        <v>15.276999999999999</v>
      </c>
      <c r="G225" s="44">
        <f>F225*4+E225*9+D225*4</f>
        <v>69.522999999999996</v>
      </c>
      <c r="H225" s="52">
        <v>45</v>
      </c>
      <c r="I225" s="53" t="s">
        <v>34</v>
      </c>
    </row>
    <row r="226" spans="1:9" x14ac:dyDescent="0.25">
      <c r="A226" s="54" t="s">
        <v>183</v>
      </c>
      <c r="B226" s="55" t="s">
        <v>36</v>
      </c>
      <c r="C226" s="56">
        <v>20</v>
      </c>
      <c r="D226" s="57">
        <v>1.1299999999999999</v>
      </c>
      <c r="E226" s="58">
        <v>0.24</v>
      </c>
      <c r="F226" s="58">
        <v>9.0370000000000008</v>
      </c>
      <c r="G226" s="59">
        <f>F226*4+E226*9+D226*4</f>
        <v>42.828000000000003</v>
      </c>
      <c r="H226" s="60">
        <v>46</v>
      </c>
      <c r="I226" s="49" t="s">
        <v>34</v>
      </c>
    </row>
    <row r="227" spans="1:9" ht="15.75" thickBot="1" x14ac:dyDescent="0.3">
      <c r="A227" s="54"/>
      <c r="B227" s="132" t="s">
        <v>37</v>
      </c>
      <c r="C227" s="62">
        <v>120</v>
      </c>
      <c r="D227" s="63">
        <v>0.48</v>
      </c>
      <c r="E227" s="64">
        <v>0.48</v>
      </c>
      <c r="F227" s="65">
        <v>11.76</v>
      </c>
      <c r="G227" s="66">
        <f>F227*4+E227*9+D227*4</f>
        <v>53.28</v>
      </c>
      <c r="H227" s="67">
        <v>48</v>
      </c>
      <c r="I227" s="68" t="s">
        <v>38</v>
      </c>
    </row>
    <row r="228" spans="1:9" x14ac:dyDescent="0.25">
      <c r="A228" s="77"/>
      <c r="C228" s="70"/>
      <c r="D228" s="71">
        <f>SUM(D223:D227)</f>
        <v>12.754999999999999</v>
      </c>
      <c r="E228" s="72">
        <f>SUM(E223:E227)</f>
        <v>12.268000000000001</v>
      </c>
      <c r="F228" s="73">
        <f>SUM(F223:F227)</f>
        <v>80.14800000000001</v>
      </c>
      <c r="G228" s="74">
        <f>SUM(G223:G227)</f>
        <v>482.02399999999989</v>
      </c>
      <c r="H228" s="75" t="s">
        <v>40</v>
      </c>
      <c r="I228" s="76"/>
    </row>
    <row r="229" spans="1:9" ht="15.75" thickBot="1" x14ac:dyDescent="0.3">
      <c r="A229" s="69" t="s">
        <v>39</v>
      </c>
      <c r="C229" s="3"/>
      <c r="D229" s="78"/>
      <c r="E229" s="79"/>
      <c r="F229" s="80"/>
      <c r="G229" s="81"/>
      <c r="H229" s="82" t="s">
        <v>41</v>
      </c>
      <c r="I229" s="83">
        <f>C223+C224+C225+C226+C227</f>
        <v>570</v>
      </c>
    </row>
    <row r="230" spans="1:9" x14ac:dyDescent="0.25">
      <c r="A230" s="77"/>
      <c r="B230" s="32" t="s">
        <v>42</v>
      </c>
      <c r="C230" s="12"/>
      <c r="D230" s="84"/>
      <c r="E230" s="85"/>
      <c r="F230" s="85"/>
      <c r="G230" s="85"/>
      <c r="H230" s="87"/>
      <c r="I230" s="87"/>
    </row>
    <row r="231" spans="1:9" x14ac:dyDescent="0.25">
      <c r="A231" s="77"/>
      <c r="B231" s="183" t="s">
        <v>141</v>
      </c>
      <c r="C231" s="41">
        <v>200</v>
      </c>
      <c r="D231" s="284">
        <v>4.8540000000000001</v>
      </c>
      <c r="E231" s="269">
        <v>4.6840000000000002</v>
      </c>
      <c r="F231" s="285">
        <v>9.1999999999999993</v>
      </c>
      <c r="G231" s="44">
        <f t="shared" ref="G231:G234" si="18">F231*4+E231*9+D231*4</f>
        <v>98.371999999999986</v>
      </c>
      <c r="H231" s="208">
        <v>16</v>
      </c>
      <c r="I231" s="100" t="s">
        <v>142</v>
      </c>
    </row>
    <row r="232" spans="1:9" x14ac:dyDescent="0.25">
      <c r="A232" s="77"/>
      <c r="B232" s="181" t="s">
        <v>143</v>
      </c>
      <c r="C232" s="56">
        <v>150</v>
      </c>
      <c r="D232" s="42">
        <v>4.3899999999999997</v>
      </c>
      <c r="E232" s="43">
        <v>12.41</v>
      </c>
      <c r="F232" s="43">
        <v>44.94</v>
      </c>
      <c r="G232" s="44">
        <f t="shared" si="18"/>
        <v>309.01</v>
      </c>
      <c r="H232" s="45">
        <v>36</v>
      </c>
      <c r="I232" s="286" t="s">
        <v>144</v>
      </c>
    </row>
    <row r="233" spans="1:9" x14ac:dyDescent="0.25">
      <c r="A233" s="77"/>
      <c r="B233" s="287" t="s">
        <v>145</v>
      </c>
      <c r="C233" s="288" t="s">
        <v>125</v>
      </c>
      <c r="D233" s="289">
        <v>9.9489999999999998</v>
      </c>
      <c r="E233" s="176">
        <v>10</v>
      </c>
      <c r="F233" s="290">
        <v>11.715</v>
      </c>
      <c r="G233" s="44">
        <f t="shared" si="18"/>
        <v>176.65600000000001</v>
      </c>
      <c r="H233" s="291">
        <v>25</v>
      </c>
      <c r="I233" s="49" t="s">
        <v>146</v>
      </c>
    </row>
    <row r="234" spans="1:9" x14ac:dyDescent="0.25">
      <c r="A234" s="77"/>
      <c r="B234" s="169" t="s">
        <v>70</v>
      </c>
      <c r="C234" s="171">
        <v>200</v>
      </c>
      <c r="D234" s="42">
        <v>0.66200000000000003</v>
      </c>
      <c r="E234" s="43">
        <v>0.09</v>
      </c>
      <c r="F234" s="43">
        <v>29.393999999999998</v>
      </c>
      <c r="G234" s="44">
        <f t="shared" si="18"/>
        <v>121.03399999999999</v>
      </c>
      <c r="H234" s="280">
        <v>50</v>
      </c>
      <c r="I234" s="53" t="s">
        <v>71</v>
      </c>
    </row>
    <row r="235" spans="1:9" x14ac:dyDescent="0.25">
      <c r="A235" s="77"/>
      <c r="B235" s="51" t="s">
        <v>33</v>
      </c>
      <c r="C235" s="41">
        <v>30</v>
      </c>
      <c r="D235" s="42">
        <v>1.53</v>
      </c>
      <c r="E235" s="43">
        <v>0.255</v>
      </c>
      <c r="F235" s="43">
        <v>15.276999999999999</v>
      </c>
      <c r="G235" s="44">
        <f>F235*4+E235*9+D235*4</f>
        <v>69.522999999999996</v>
      </c>
      <c r="H235" s="52">
        <v>45</v>
      </c>
      <c r="I235" s="53" t="s">
        <v>34</v>
      </c>
    </row>
    <row r="236" spans="1:9" ht="15.75" thickBot="1" x14ac:dyDescent="0.3">
      <c r="A236" s="77"/>
      <c r="B236" s="55" t="s">
        <v>52</v>
      </c>
      <c r="C236" s="62">
        <v>20</v>
      </c>
      <c r="D236" s="57">
        <v>1.1299999999999999</v>
      </c>
      <c r="E236" s="58">
        <v>0.24</v>
      </c>
      <c r="F236" s="58">
        <v>9.0370000000000008</v>
      </c>
      <c r="G236" s="59">
        <f>F236*4+E236*9+D236*4</f>
        <v>42.828000000000003</v>
      </c>
      <c r="H236" s="52">
        <v>46</v>
      </c>
      <c r="I236" s="165" t="s">
        <v>34</v>
      </c>
    </row>
    <row r="237" spans="1:9" ht="15.75" thickBot="1" x14ac:dyDescent="0.3">
      <c r="A237" s="101" t="s">
        <v>53</v>
      </c>
      <c r="B237" s="102"/>
      <c r="C237" s="103"/>
      <c r="D237" s="222">
        <f>SUM(D231:D236)</f>
        <v>22.514999999999997</v>
      </c>
      <c r="E237" s="223">
        <f>SUM(E231:E236)</f>
        <v>27.678999999999998</v>
      </c>
      <c r="F237" s="283">
        <f>SUM(F231:F236)</f>
        <v>119.563</v>
      </c>
      <c r="G237" s="246">
        <f>SUM(G231:G236)</f>
        <v>817.423</v>
      </c>
      <c r="H237" s="107" t="s">
        <v>40</v>
      </c>
      <c r="I237" s="76"/>
    </row>
    <row r="238" spans="1:9" ht="15.75" thickBot="1" x14ac:dyDescent="0.3">
      <c r="A238" s="166"/>
      <c r="B238" s="102" t="s">
        <v>54</v>
      </c>
      <c r="C238" s="109"/>
      <c r="D238" s="178">
        <f>D228+D237</f>
        <v>35.269999999999996</v>
      </c>
      <c r="E238" s="179">
        <f t="shared" ref="E238:F238" si="19">E228+E237</f>
        <v>39.947000000000003</v>
      </c>
      <c r="F238" s="179">
        <f t="shared" si="19"/>
        <v>199.71100000000001</v>
      </c>
      <c r="G238" s="180">
        <f>G228+G237</f>
        <v>1299.4469999999999</v>
      </c>
      <c r="H238" s="113" t="s">
        <v>55</v>
      </c>
      <c r="I238" s="114">
        <f>C231+C232+C234+C235+C236+100+20</f>
        <v>720</v>
      </c>
    </row>
    <row r="239" spans="1:9" ht="15.75" thickBot="1" x14ac:dyDescent="0.3">
      <c r="A239" s="115"/>
      <c r="B239" s="116" t="s">
        <v>56</v>
      </c>
      <c r="C239" s="117"/>
      <c r="D239" s="118">
        <v>38.5</v>
      </c>
      <c r="E239" s="119">
        <v>39.5</v>
      </c>
      <c r="F239" s="120">
        <v>167.5</v>
      </c>
      <c r="G239" s="121">
        <v>1175</v>
      </c>
      <c r="H239" s="82" t="s">
        <v>57</v>
      </c>
      <c r="I239" s="122"/>
    </row>
    <row r="240" spans="1:9" x14ac:dyDescent="0.25">
      <c r="C240" s="3"/>
      <c r="D240" s="3"/>
      <c r="E240" s="3"/>
      <c r="F240" s="3"/>
      <c r="G240" s="3"/>
      <c r="H240" s="3"/>
      <c r="I240" s="3"/>
    </row>
    <row r="241" spans="1:9" x14ac:dyDescent="0.25">
      <c r="C241" s="3"/>
      <c r="D241" s="3"/>
      <c r="E241" s="3"/>
      <c r="F241" s="3"/>
      <c r="G241" s="3"/>
      <c r="H241" s="3"/>
      <c r="I241" s="3"/>
    </row>
    <row r="242" spans="1:9" ht="15.75" thickBot="1" x14ac:dyDescent="0.3">
      <c r="C242" s="3"/>
      <c r="D242" s="3"/>
      <c r="E242" s="3"/>
      <c r="F242" s="3"/>
      <c r="G242" s="3"/>
      <c r="H242" s="3"/>
      <c r="I242" s="3"/>
    </row>
    <row r="243" spans="1:9" ht="15.75" thickBot="1" x14ac:dyDescent="0.3">
      <c r="A243" s="11" t="s">
        <v>4</v>
      </c>
      <c r="B243" s="12"/>
      <c r="C243" s="13" t="s">
        <v>5</v>
      </c>
      <c r="D243" s="14" t="s">
        <v>6</v>
      </c>
      <c r="E243" s="14"/>
      <c r="F243" s="14"/>
      <c r="G243" s="15" t="s">
        <v>7</v>
      </c>
      <c r="H243" s="16" t="s">
        <v>8</v>
      </c>
      <c r="I243" s="17" t="s">
        <v>9</v>
      </c>
    </row>
    <row r="244" spans="1:9" x14ac:dyDescent="0.25">
      <c r="A244" s="18" t="s">
        <v>10</v>
      </c>
      <c r="B244" s="19" t="s">
        <v>11</v>
      </c>
      <c r="C244" s="20" t="s">
        <v>12</v>
      </c>
      <c r="D244" s="21" t="s">
        <v>13</v>
      </c>
      <c r="E244" s="21" t="s">
        <v>14</v>
      </c>
      <c r="F244" s="21" t="s">
        <v>15</v>
      </c>
      <c r="G244" s="22" t="s">
        <v>16</v>
      </c>
      <c r="H244" s="23" t="s">
        <v>17</v>
      </c>
      <c r="I244" s="24" t="s">
        <v>18</v>
      </c>
    </row>
    <row r="245" spans="1:9" ht="15.75" thickBot="1" x14ac:dyDescent="0.3">
      <c r="A245" s="25"/>
      <c r="B245" s="26"/>
      <c r="C245" s="27"/>
      <c r="D245" s="28" t="s">
        <v>19</v>
      </c>
      <c r="E245" s="28" t="s">
        <v>20</v>
      </c>
      <c r="F245" s="28" t="s">
        <v>21</v>
      </c>
      <c r="G245" s="29" t="s">
        <v>22</v>
      </c>
      <c r="H245" s="30" t="s">
        <v>23</v>
      </c>
      <c r="I245" s="31" t="s">
        <v>24</v>
      </c>
    </row>
    <row r="246" spans="1:9" x14ac:dyDescent="0.25">
      <c r="A246" s="12"/>
      <c r="B246" s="32" t="s">
        <v>25</v>
      </c>
      <c r="C246" s="33"/>
      <c r="D246" s="34"/>
      <c r="E246" s="35"/>
      <c r="F246" s="35"/>
      <c r="G246" s="36"/>
      <c r="H246" s="37"/>
      <c r="I246" s="38"/>
    </row>
    <row r="247" spans="1:9" x14ac:dyDescent="0.25">
      <c r="A247" s="39" t="s">
        <v>26</v>
      </c>
      <c r="B247" s="205" t="s">
        <v>147</v>
      </c>
      <c r="C247" s="56" t="s">
        <v>184</v>
      </c>
      <c r="D247" s="271">
        <v>2.2669999999999999</v>
      </c>
      <c r="E247" s="272">
        <v>0.26700000000000002</v>
      </c>
      <c r="F247" s="273">
        <v>7.992</v>
      </c>
      <c r="G247" s="221">
        <f t="shared" ref="G247:G248" si="20">F247*4+E247*9+D247*4</f>
        <v>43.439</v>
      </c>
      <c r="H247" s="48">
        <v>34</v>
      </c>
      <c r="I247" s="49" t="s">
        <v>148</v>
      </c>
    </row>
    <row r="248" spans="1:9" x14ac:dyDescent="0.25">
      <c r="A248" s="47" t="s">
        <v>110</v>
      </c>
      <c r="B248" s="207" t="s">
        <v>149</v>
      </c>
      <c r="C248" s="292"/>
      <c r="D248" s="95">
        <v>2.4529999999999998</v>
      </c>
      <c r="E248" s="96">
        <v>6.4690000000000003</v>
      </c>
      <c r="F248" s="97">
        <v>13.05</v>
      </c>
      <c r="G248" s="98">
        <f t="shared" si="20"/>
        <v>120.233</v>
      </c>
      <c r="H248" s="208"/>
      <c r="I248" s="100" t="s">
        <v>69</v>
      </c>
    </row>
    <row r="249" spans="1:9" ht="15.75" x14ac:dyDescent="0.25">
      <c r="A249" s="50" t="s">
        <v>32</v>
      </c>
      <c r="B249" s="90" t="s">
        <v>150</v>
      </c>
      <c r="C249" s="89">
        <v>100</v>
      </c>
      <c r="D249" s="42">
        <v>7.0069999999999997</v>
      </c>
      <c r="E249" s="43">
        <v>3.1640000000000001</v>
      </c>
      <c r="F249" s="43">
        <v>7.8109999999999999</v>
      </c>
      <c r="G249" s="44">
        <f>F249*4+E249*9+D249*4</f>
        <v>87.74799999999999</v>
      </c>
      <c r="H249" s="131">
        <v>27</v>
      </c>
      <c r="I249" s="100" t="s">
        <v>151</v>
      </c>
    </row>
    <row r="250" spans="1:9" x14ac:dyDescent="0.25">
      <c r="A250" s="54" t="s">
        <v>152</v>
      </c>
      <c r="B250" s="90" t="s">
        <v>153</v>
      </c>
      <c r="C250" s="89">
        <v>208</v>
      </c>
      <c r="D250" s="42">
        <v>0.13</v>
      </c>
      <c r="E250" s="43">
        <v>0.02</v>
      </c>
      <c r="F250" s="43">
        <v>15.2</v>
      </c>
      <c r="G250" s="44">
        <f>F250*4+E250*9+D250*4</f>
        <v>61.5</v>
      </c>
      <c r="H250" s="131">
        <v>56</v>
      </c>
      <c r="I250" s="100" t="s">
        <v>154</v>
      </c>
    </row>
    <row r="251" spans="1:9" x14ac:dyDescent="0.25">
      <c r="A251" s="54"/>
      <c r="B251" s="90" t="s">
        <v>33</v>
      </c>
      <c r="C251" s="41">
        <v>30</v>
      </c>
      <c r="D251" s="42">
        <v>1.53</v>
      </c>
      <c r="E251" s="43">
        <v>0.255</v>
      </c>
      <c r="F251" s="43">
        <v>15.276999999999999</v>
      </c>
      <c r="G251" s="44">
        <f>F251*4+E251*9+D251*4</f>
        <v>69.522999999999996</v>
      </c>
      <c r="H251" s="60">
        <v>45</v>
      </c>
      <c r="I251" s="49" t="s">
        <v>34</v>
      </c>
    </row>
    <row r="252" spans="1:9" ht="15.75" thickBot="1" x14ac:dyDescent="0.3">
      <c r="A252" s="77"/>
      <c r="B252" s="132" t="s">
        <v>36</v>
      </c>
      <c r="C252" s="62">
        <v>20</v>
      </c>
      <c r="D252" s="57">
        <v>1.1299999999999999</v>
      </c>
      <c r="E252" s="58">
        <v>0.24</v>
      </c>
      <c r="F252" s="58">
        <v>9.0370000000000008</v>
      </c>
      <c r="G252" s="59">
        <f>F252*4+E252*9+D252*4</f>
        <v>42.828000000000003</v>
      </c>
      <c r="H252" s="67">
        <v>46</v>
      </c>
      <c r="I252" s="68" t="s">
        <v>38</v>
      </c>
    </row>
    <row r="253" spans="1:9" x14ac:dyDescent="0.25">
      <c r="A253" s="69" t="s">
        <v>39</v>
      </c>
      <c r="C253" s="70"/>
      <c r="D253" s="197">
        <f>SUM(D247:D252)</f>
        <v>14.516999999999999</v>
      </c>
      <c r="E253" s="293">
        <f>SUM(E247:E252)</f>
        <v>10.415000000000001</v>
      </c>
      <c r="F253" s="198">
        <f>SUM(F247:F252)</f>
        <v>68.367000000000004</v>
      </c>
      <c r="G253" s="216">
        <f>SUM(G247:G252)</f>
        <v>425.27099999999996</v>
      </c>
      <c r="H253" s="75" t="s">
        <v>40</v>
      </c>
      <c r="I253" s="76"/>
    </row>
    <row r="254" spans="1:9" ht="15.75" thickBot="1" x14ac:dyDescent="0.3">
      <c r="A254" s="77"/>
      <c r="C254" s="3"/>
      <c r="D254" s="78"/>
      <c r="E254" s="254"/>
      <c r="F254" s="79"/>
      <c r="G254" s="81"/>
      <c r="H254" s="82" t="s">
        <v>41</v>
      </c>
      <c r="I254" s="83">
        <f>C249+C251+C252+200+8+60+90</f>
        <v>508</v>
      </c>
    </row>
    <row r="255" spans="1:9" x14ac:dyDescent="0.25">
      <c r="A255" s="77"/>
      <c r="B255" s="32" t="s">
        <v>42</v>
      </c>
      <c r="C255" s="200"/>
      <c r="D255" s="84"/>
      <c r="E255" s="85"/>
      <c r="F255" s="85"/>
      <c r="G255" s="86"/>
      <c r="H255" s="87"/>
      <c r="I255" s="87"/>
    </row>
    <row r="256" spans="1:9" x14ac:dyDescent="0.25">
      <c r="A256" s="77"/>
      <c r="B256" s="169" t="s">
        <v>155</v>
      </c>
      <c r="C256" s="171">
        <v>200</v>
      </c>
      <c r="D256" s="158">
        <v>4.8</v>
      </c>
      <c r="E256" s="43">
        <v>5.6079999999999997</v>
      </c>
      <c r="F256" s="43">
        <v>13</v>
      </c>
      <c r="G256" s="44">
        <f t="shared" ref="G256:G261" si="21">F256*4+E256*9+D256*4</f>
        <v>121.672</v>
      </c>
      <c r="H256" s="99">
        <v>18</v>
      </c>
      <c r="I256" s="100" t="s">
        <v>103</v>
      </c>
    </row>
    <row r="257" spans="1:9" x14ac:dyDescent="0.25">
      <c r="A257" s="77"/>
      <c r="B257" s="294" t="s">
        <v>156</v>
      </c>
      <c r="C257" s="171">
        <v>90</v>
      </c>
      <c r="D257" s="174">
        <v>7.1929999999999996</v>
      </c>
      <c r="E257" s="175">
        <v>9.48</v>
      </c>
      <c r="F257" s="43">
        <v>11.1</v>
      </c>
      <c r="G257" s="44">
        <f t="shared" si="21"/>
        <v>158.49199999999999</v>
      </c>
      <c r="H257" s="131">
        <v>24</v>
      </c>
      <c r="I257" s="53" t="s">
        <v>157</v>
      </c>
    </row>
    <row r="258" spans="1:9" x14ac:dyDescent="0.25">
      <c r="A258" s="77"/>
      <c r="B258" s="169" t="s">
        <v>158</v>
      </c>
      <c r="C258" s="171">
        <v>180</v>
      </c>
      <c r="D258" s="42">
        <v>3.0339999999999998</v>
      </c>
      <c r="E258" s="43">
        <v>10.09</v>
      </c>
      <c r="F258" s="43">
        <v>15.4</v>
      </c>
      <c r="G258" s="44">
        <f t="shared" si="21"/>
        <v>164.54599999999999</v>
      </c>
      <c r="H258" s="52">
        <v>37</v>
      </c>
      <c r="I258" s="53" t="s">
        <v>159</v>
      </c>
    </row>
    <row r="259" spans="1:9" x14ac:dyDescent="0.25">
      <c r="A259" s="77"/>
      <c r="B259" s="169" t="s">
        <v>95</v>
      </c>
      <c r="C259" s="171">
        <v>200</v>
      </c>
      <c r="D259" s="42">
        <v>0.23200000000000001</v>
      </c>
      <c r="E259" s="43">
        <v>1.2E-2</v>
      </c>
      <c r="F259" s="43">
        <v>32.752000000000002</v>
      </c>
      <c r="G259" s="44">
        <f t="shared" si="21"/>
        <v>132.04400000000001</v>
      </c>
      <c r="H259" s="45">
        <v>51</v>
      </c>
      <c r="I259" s="53" t="s">
        <v>160</v>
      </c>
    </row>
    <row r="260" spans="1:9" x14ac:dyDescent="0.25">
      <c r="A260" s="77"/>
      <c r="B260" s="169" t="s">
        <v>33</v>
      </c>
      <c r="C260" s="41">
        <v>35</v>
      </c>
      <c r="D260" s="42">
        <v>1.7849999999999999</v>
      </c>
      <c r="E260" s="43">
        <v>0.29749999999999999</v>
      </c>
      <c r="F260" s="43">
        <v>17.824000000000002</v>
      </c>
      <c r="G260" s="44">
        <f>F260*4+E260*9+D260*4</f>
        <v>81.113500000000002</v>
      </c>
      <c r="H260" s="52">
        <v>45</v>
      </c>
      <c r="I260" s="53" t="s">
        <v>34</v>
      </c>
    </row>
    <row r="261" spans="1:9" ht="15.75" thickBot="1" x14ac:dyDescent="0.3">
      <c r="A261" s="77"/>
      <c r="B261" s="61" t="s">
        <v>52</v>
      </c>
      <c r="C261" s="295">
        <v>20</v>
      </c>
      <c r="D261" s="57">
        <v>1.1299999999999999</v>
      </c>
      <c r="E261" s="58">
        <v>0.24</v>
      </c>
      <c r="F261" s="58">
        <v>9.0399999999999991</v>
      </c>
      <c r="G261" s="59">
        <f t="shared" si="21"/>
        <v>42.839999999999989</v>
      </c>
      <c r="H261" s="282">
        <v>46</v>
      </c>
      <c r="I261" s="165" t="s">
        <v>34</v>
      </c>
    </row>
    <row r="262" spans="1:9" ht="15.75" thickBot="1" x14ac:dyDescent="0.3">
      <c r="A262" s="101" t="s">
        <v>53</v>
      </c>
      <c r="B262" s="102"/>
      <c r="C262" s="103"/>
      <c r="D262" s="296">
        <f>SUM(D256:D261)</f>
        <v>18.173999999999996</v>
      </c>
      <c r="E262" s="297">
        <f>SUM(E256:E261)</f>
        <v>25.727499999999999</v>
      </c>
      <c r="F262" s="298">
        <f>SUM(F256:F261)</f>
        <v>99.116000000000014</v>
      </c>
      <c r="G262" s="297">
        <f>SUM(G256:G261)</f>
        <v>700.7075000000001</v>
      </c>
      <c r="H262" s="107" t="s">
        <v>40</v>
      </c>
      <c r="I262" s="76"/>
    </row>
    <row r="263" spans="1:9" ht="15.75" thickBot="1" x14ac:dyDescent="0.3">
      <c r="A263" s="108"/>
      <c r="B263" s="102" t="s">
        <v>54</v>
      </c>
      <c r="C263" s="109"/>
      <c r="D263" s="178">
        <f>D253+D262</f>
        <v>32.690999999999995</v>
      </c>
      <c r="E263" s="179">
        <f t="shared" ref="E263:G263" si="22">E253+E262</f>
        <v>36.142499999999998</v>
      </c>
      <c r="F263" s="179">
        <f t="shared" si="22"/>
        <v>167.483</v>
      </c>
      <c r="G263" s="180">
        <f t="shared" si="22"/>
        <v>1125.9785000000002</v>
      </c>
      <c r="H263" s="247" t="s">
        <v>55</v>
      </c>
      <c r="I263" s="114">
        <f>C256+C257+C258+C259+C260+C261</f>
        <v>725</v>
      </c>
    </row>
    <row r="264" spans="1:9" ht="15.75" thickBot="1" x14ac:dyDescent="0.3">
      <c r="A264" s="115"/>
      <c r="B264" s="116" t="s">
        <v>56</v>
      </c>
      <c r="C264" s="117"/>
      <c r="D264" s="118">
        <v>38.5</v>
      </c>
      <c r="E264" s="119">
        <v>39.5</v>
      </c>
      <c r="F264" s="120">
        <v>167.5</v>
      </c>
      <c r="G264" s="121">
        <v>1175</v>
      </c>
      <c r="H264" s="82" t="s">
        <v>57</v>
      </c>
      <c r="I264" s="122"/>
    </row>
    <row r="265" spans="1:9" x14ac:dyDescent="0.25">
      <c r="C265" s="3"/>
      <c r="D265" s="3"/>
      <c r="E265" s="3"/>
      <c r="F265" s="3"/>
      <c r="G265" s="3"/>
      <c r="H265" s="3"/>
      <c r="I265" s="3"/>
    </row>
    <row r="266" spans="1:9" x14ac:dyDescent="0.25">
      <c r="C266" s="3"/>
      <c r="D266" s="3"/>
      <c r="E266" s="3"/>
      <c r="F266" s="3"/>
      <c r="G266" s="3"/>
      <c r="H266" s="3"/>
      <c r="I266" s="3"/>
    </row>
    <row r="267" spans="1:9" x14ac:dyDescent="0.25">
      <c r="C267" s="3"/>
      <c r="D267" s="3"/>
      <c r="E267" s="3"/>
      <c r="F267" s="3"/>
      <c r="G267" s="3"/>
      <c r="H267" s="3"/>
      <c r="I267" s="3"/>
    </row>
    <row r="268" spans="1:9" x14ac:dyDescent="0.25">
      <c r="C268" s="3"/>
      <c r="D268" s="3"/>
      <c r="E268" s="3"/>
      <c r="F268" s="3"/>
      <c r="G268" s="3"/>
      <c r="H268" s="3"/>
      <c r="I268" s="3"/>
    </row>
    <row r="269" spans="1:9" x14ac:dyDescent="0.25">
      <c r="C269" s="3"/>
      <c r="D269" s="3"/>
      <c r="E269" s="3"/>
      <c r="F269" s="3"/>
      <c r="G269" s="3"/>
      <c r="H269" s="3"/>
      <c r="I269" s="3"/>
    </row>
    <row r="270" spans="1:9" x14ac:dyDescent="0.25">
      <c r="C270" s="3"/>
      <c r="D270" s="3"/>
      <c r="E270" s="3"/>
      <c r="F270" s="3"/>
      <c r="G270" s="3"/>
      <c r="H270" s="3"/>
      <c r="I270" s="3"/>
    </row>
    <row r="271" spans="1:9" x14ac:dyDescent="0.25">
      <c r="C271" s="3"/>
      <c r="D271" s="3"/>
      <c r="E271" s="3"/>
      <c r="F271" s="3"/>
      <c r="G271" s="3"/>
      <c r="H271" s="3"/>
      <c r="I271" s="3"/>
    </row>
    <row r="272" spans="1:9" x14ac:dyDescent="0.25">
      <c r="B272" s="299"/>
      <c r="C272" s="300"/>
      <c r="D272" s="301"/>
      <c r="E272" s="301"/>
      <c r="F272" s="301"/>
      <c r="G272" s="301"/>
      <c r="H272" s="302"/>
      <c r="I272" s="303"/>
    </row>
    <row r="273" spans="1:9" x14ac:dyDescent="0.25">
      <c r="C273" s="3"/>
      <c r="D273" s="3"/>
      <c r="E273" s="3"/>
      <c r="F273" s="3"/>
      <c r="G273" s="3"/>
      <c r="H273" s="3"/>
      <c r="I273" s="3"/>
    </row>
    <row r="274" spans="1:9" ht="15.75" thickBot="1" x14ac:dyDescent="0.3">
      <c r="C274" s="3"/>
      <c r="D274" s="3"/>
      <c r="E274" s="3"/>
      <c r="F274" s="3"/>
      <c r="G274" s="3"/>
      <c r="H274" s="3"/>
      <c r="I274" s="3"/>
    </row>
    <row r="275" spans="1:9" ht="15.75" thickBot="1" x14ac:dyDescent="0.3">
      <c r="A275" s="304" t="s">
        <v>161</v>
      </c>
      <c r="B275" s="305"/>
      <c r="C275" s="306"/>
      <c r="D275" s="14" t="s">
        <v>6</v>
      </c>
      <c r="E275" s="14"/>
      <c r="F275" s="14"/>
      <c r="G275" s="16" t="s">
        <v>7</v>
      </c>
      <c r="H275" s="307" t="s">
        <v>185</v>
      </c>
      <c r="I275" s="308"/>
    </row>
    <row r="276" spans="1:9" x14ac:dyDescent="0.25">
      <c r="A276" s="309"/>
      <c r="B276" s="310" t="s">
        <v>186</v>
      </c>
      <c r="C276" s="311"/>
      <c r="D276" s="312" t="s">
        <v>13</v>
      </c>
      <c r="E276" s="21" t="s">
        <v>14</v>
      </c>
      <c r="F276" s="21" t="s">
        <v>15</v>
      </c>
      <c r="G276" s="18" t="s">
        <v>16</v>
      </c>
      <c r="H276" s="313" t="s">
        <v>187</v>
      </c>
      <c r="I276" s="314" t="s">
        <v>188</v>
      </c>
    </row>
    <row r="277" spans="1:9" ht="15.75" thickBot="1" x14ac:dyDescent="0.3">
      <c r="A277" s="315"/>
      <c r="B277" s="316"/>
      <c r="C277" s="122"/>
      <c r="D277" s="317" t="s">
        <v>19</v>
      </c>
      <c r="E277" s="28" t="s">
        <v>20</v>
      </c>
      <c r="F277" s="28" t="s">
        <v>21</v>
      </c>
      <c r="G277" s="318" t="s">
        <v>22</v>
      </c>
      <c r="H277" s="78"/>
      <c r="I277" s="319" t="s">
        <v>189</v>
      </c>
    </row>
    <row r="278" spans="1:9" x14ac:dyDescent="0.25">
      <c r="A278" s="320"/>
      <c r="B278" s="321" t="s">
        <v>190</v>
      </c>
      <c r="C278" s="322">
        <v>1</v>
      </c>
      <c r="D278" s="323">
        <v>77</v>
      </c>
      <c r="E278" s="324">
        <v>79</v>
      </c>
      <c r="F278" s="325">
        <v>335</v>
      </c>
      <c r="G278" s="326">
        <v>2350</v>
      </c>
      <c r="H278" s="327" t="s">
        <v>13</v>
      </c>
      <c r="I278" s="328">
        <f>(D280-D282)*10</f>
        <v>6.2000000000494992E-3</v>
      </c>
    </row>
    <row r="279" spans="1:9" x14ac:dyDescent="0.25">
      <c r="A279" s="329"/>
      <c r="B279" s="301" t="s">
        <v>191</v>
      </c>
      <c r="C279" s="330"/>
      <c r="D279" s="331"/>
      <c r="E279" s="332"/>
      <c r="F279" s="332"/>
      <c r="G279" s="333"/>
      <c r="H279" s="334" t="s">
        <v>14</v>
      </c>
      <c r="I279" s="335">
        <f>(E280-E282)*10</f>
        <v>2.899999999996794E-3</v>
      </c>
    </row>
    <row r="280" spans="1:9" x14ac:dyDescent="0.25">
      <c r="A280" s="336" t="s">
        <v>192</v>
      </c>
      <c r="B280" s="337" t="s">
        <v>193</v>
      </c>
      <c r="C280" s="338">
        <v>0.5</v>
      </c>
      <c r="D280" s="339">
        <v>38.5</v>
      </c>
      <c r="E280" s="340">
        <v>39.5</v>
      </c>
      <c r="F280" s="341">
        <v>167.5</v>
      </c>
      <c r="G280" s="342">
        <v>1175</v>
      </c>
      <c r="H280" s="334" t="s">
        <v>15</v>
      </c>
      <c r="I280" s="335">
        <f>(F280-F282)*10</f>
        <v>4.0000000001327862E-3</v>
      </c>
    </row>
    <row r="281" spans="1:9" x14ac:dyDescent="0.25">
      <c r="A281" s="309"/>
      <c r="B281" s="343"/>
      <c r="C281" s="344"/>
      <c r="D281" s="99"/>
      <c r="E281" s="345"/>
      <c r="F281" s="345"/>
      <c r="G281" s="346"/>
      <c r="H281" s="347" t="s">
        <v>194</v>
      </c>
      <c r="I281" s="348"/>
    </row>
    <row r="282" spans="1:9" ht="15.75" thickBot="1" x14ac:dyDescent="0.3">
      <c r="A282" s="349"/>
      <c r="B282" s="350" t="s">
        <v>195</v>
      </c>
      <c r="C282" s="351"/>
      <c r="D282" s="352">
        <f>(D23+D49+D80+D106+D130+D157+D185+D209+D238+D263)/10</f>
        <v>38.499379999999995</v>
      </c>
      <c r="E282" s="353">
        <f>(E23+E49+E80+E106+E130+E157+E185+E209+E238+E263)/10</f>
        <v>39.49971</v>
      </c>
      <c r="F282" s="353">
        <f>(F23+F49+F80+F106+F130+F157+F185+F209+F238+F263)/10</f>
        <v>167.49959999999999</v>
      </c>
      <c r="G282" s="354">
        <f>(G23+G49+G80+G106+G130+G157+G185+G209+G238+G263)/10</f>
        <v>1179.4933100000003</v>
      </c>
      <c r="H282" s="355" t="s">
        <v>22</v>
      </c>
      <c r="I282" s="356">
        <f>(G280-G282)*10</f>
        <v>-44.933100000002923</v>
      </c>
    </row>
    <row r="283" spans="1:9" x14ac:dyDescent="0.25">
      <c r="D283" s="3"/>
      <c r="E283" s="3"/>
      <c r="F283" s="3"/>
      <c r="G283" s="3"/>
      <c r="H283" s="357"/>
      <c r="I283" s="357"/>
    </row>
    <row r="284" spans="1:9" x14ac:dyDescent="0.25">
      <c r="C284" s="3"/>
      <c r="D284" s="3"/>
      <c r="E284" s="3"/>
      <c r="F284" s="3"/>
      <c r="G284" s="3"/>
      <c r="H284" s="358"/>
      <c r="I284" s="358"/>
    </row>
    <row r="285" spans="1:9" x14ac:dyDescent="0.25">
      <c r="C285" s="3"/>
      <c r="D285" s="3"/>
      <c r="E285" s="3"/>
      <c r="F285" s="3"/>
      <c r="G285" s="3"/>
      <c r="H285" s="359"/>
      <c r="I285" s="360"/>
    </row>
    <row r="286" spans="1:9" x14ac:dyDescent="0.25">
      <c r="A286" s="248" t="s">
        <v>196</v>
      </c>
      <c r="G286" t="s">
        <v>197</v>
      </c>
    </row>
    <row r="287" spans="1:9" x14ac:dyDescent="0.25">
      <c r="C287" s="3"/>
      <c r="D287" s="3"/>
      <c r="E287" s="3"/>
      <c r="F287" s="3"/>
      <c r="G287" s="3"/>
      <c r="H287" s="3"/>
      <c r="I287" s="3"/>
    </row>
    <row r="288" spans="1:9" x14ac:dyDescent="0.25">
      <c r="B288" t="s">
        <v>198</v>
      </c>
      <c r="D288" s="361"/>
    </row>
    <row r="289" spans="1:9" x14ac:dyDescent="0.25">
      <c r="A289" s="362">
        <v>1</v>
      </c>
      <c r="B289" s="363" t="s">
        <v>199</v>
      </c>
      <c r="C289" s="364"/>
      <c r="D289" s="3"/>
      <c r="E289" s="363" t="s">
        <v>200</v>
      </c>
      <c r="F289" s="3"/>
      <c r="G289" s="364"/>
      <c r="H289" s="364"/>
      <c r="I289" s="364"/>
    </row>
    <row r="290" spans="1:9" x14ac:dyDescent="0.25">
      <c r="A290" s="362"/>
      <c r="B290" s="365" t="s">
        <v>201</v>
      </c>
      <c r="C290" s="366"/>
      <c r="D290" s="365" t="s">
        <v>202</v>
      </c>
      <c r="E290" s="3"/>
      <c r="F290" s="366"/>
      <c r="G290" s="366"/>
      <c r="H290" s="366"/>
      <c r="I290" s="366"/>
    </row>
    <row r="291" spans="1:9" x14ac:dyDescent="0.25">
      <c r="B291" s="365" t="s">
        <v>203</v>
      </c>
      <c r="C291" s="366"/>
      <c r="D291" s="367"/>
      <c r="E291" s="3"/>
      <c r="F291" s="366"/>
      <c r="G291" s="366"/>
      <c r="H291" s="366"/>
      <c r="I291" s="366"/>
    </row>
    <row r="292" spans="1:9" x14ac:dyDescent="0.25">
      <c r="B292" s="365" t="s">
        <v>204</v>
      </c>
      <c r="C292" s="366"/>
      <c r="D292" s="368"/>
      <c r="E292" s="366"/>
      <c r="F292" s="366"/>
      <c r="G292" s="363" t="s">
        <v>205</v>
      </c>
      <c r="H292" s="366"/>
      <c r="I292" s="366"/>
    </row>
    <row r="293" spans="1:9" x14ac:dyDescent="0.25">
      <c r="A293">
        <v>2</v>
      </c>
      <c r="B293" s="366" t="s">
        <v>206</v>
      </c>
      <c r="C293" s="366"/>
      <c r="D293" s="368"/>
      <c r="E293" s="366" t="s">
        <v>207</v>
      </c>
      <c r="F293" s="366"/>
      <c r="G293" s="366"/>
      <c r="H293" s="366"/>
      <c r="I293" s="366"/>
    </row>
    <row r="294" spans="1:9" x14ac:dyDescent="0.25">
      <c r="B294" s="366" t="s">
        <v>208</v>
      </c>
      <c r="C294" s="366"/>
      <c r="D294" s="368"/>
      <c r="E294" s="366"/>
      <c r="F294" s="369"/>
      <c r="G294" s="366"/>
      <c r="H294" s="366"/>
      <c r="I294" s="366"/>
    </row>
    <row r="295" spans="1:9" x14ac:dyDescent="0.25">
      <c r="A295">
        <v>3</v>
      </c>
      <c r="B295" s="366" t="s">
        <v>209</v>
      </c>
      <c r="C295" s="366"/>
      <c r="D295" s="368"/>
      <c r="E295" s="366"/>
      <c r="F295" s="366"/>
      <c r="G295" s="366"/>
      <c r="H295" s="366"/>
      <c r="I295" s="366"/>
    </row>
    <row r="296" spans="1:9" x14ac:dyDescent="0.25">
      <c r="B296" s="366" t="s">
        <v>210</v>
      </c>
      <c r="C296" s="366"/>
      <c r="D296" s="368"/>
      <c r="E296" s="366"/>
      <c r="F296" s="369"/>
      <c r="G296" s="366"/>
      <c r="H296" s="366"/>
      <c r="I296" s="366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1"/>
  <sheetViews>
    <sheetView topLeftCell="A96" workbookViewId="0">
      <selection activeCell="L105" sqref="L105:T117"/>
    </sheetView>
  </sheetViews>
  <sheetFormatPr defaultRowHeight="15" x14ac:dyDescent="0.25"/>
  <sheetData>
    <row r="2" spans="1:20" x14ac:dyDescent="0.25">
      <c r="C2" s="370" t="s">
        <v>211</v>
      </c>
      <c r="D2" s="3"/>
      <c r="E2" s="3"/>
      <c r="F2" s="3"/>
      <c r="G2" s="3"/>
      <c r="H2" s="3"/>
      <c r="I2" s="3"/>
      <c r="J2" s="3"/>
    </row>
    <row r="3" spans="1:20" x14ac:dyDescent="0.25">
      <c r="C3" s="1" t="s">
        <v>212</v>
      </c>
      <c r="G3" s="3"/>
      <c r="I3" s="3"/>
      <c r="J3" s="5">
        <v>0.25</v>
      </c>
    </row>
    <row r="4" spans="1:20" x14ac:dyDescent="0.25">
      <c r="C4" s="2" t="s">
        <v>213</v>
      </c>
      <c r="F4" s="2"/>
      <c r="G4" s="2"/>
      <c r="H4" s="4"/>
      <c r="I4" s="4"/>
      <c r="J4" s="4"/>
      <c r="M4" s="370" t="s">
        <v>264</v>
      </c>
      <c r="N4" s="3"/>
      <c r="Q4" s="3"/>
      <c r="S4" s="5"/>
    </row>
    <row r="5" spans="1:20" ht="15.75" x14ac:dyDescent="0.25">
      <c r="B5" s="2"/>
      <c r="D5" s="371" t="s">
        <v>214</v>
      </c>
      <c r="M5" s="224" t="s">
        <v>265</v>
      </c>
      <c r="Q5" s="3"/>
      <c r="S5" s="3"/>
      <c r="T5" s="5">
        <v>0.35</v>
      </c>
    </row>
    <row r="6" spans="1:20" x14ac:dyDescent="0.25">
      <c r="D6" s="3"/>
      <c r="E6" s="3"/>
      <c r="F6" s="3"/>
      <c r="G6" s="3"/>
      <c r="H6" s="3"/>
      <c r="I6" s="3"/>
      <c r="J6" s="3"/>
      <c r="M6" s="2" t="s">
        <v>266</v>
      </c>
      <c r="N6" s="3"/>
      <c r="Q6" s="2"/>
      <c r="R6" s="2"/>
      <c r="S6" s="4"/>
      <c r="T6" s="4"/>
    </row>
    <row r="7" spans="1:20" ht="15.75" x14ac:dyDescent="0.25">
      <c r="B7" s="9" t="s">
        <v>215</v>
      </c>
      <c r="C7" s="4"/>
      <c r="E7" s="3"/>
      <c r="F7" s="372" t="s">
        <v>2</v>
      </c>
      <c r="G7" s="4" t="s">
        <v>216</v>
      </c>
      <c r="H7" s="4"/>
      <c r="I7" s="4"/>
      <c r="J7" s="3"/>
      <c r="L7" s="9" t="s">
        <v>215</v>
      </c>
      <c r="M7" s="4"/>
      <c r="O7" s="3"/>
      <c r="P7" s="9" t="s">
        <v>2</v>
      </c>
      <c r="Q7" s="3"/>
      <c r="R7" s="10" t="s">
        <v>267</v>
      </c>
      <c r="S7" s="4"/>
      <c r="T7" s="4"/>
    </row>
    <row r="8" spans="1:20" ht="21.75" thickBot="1" x14ac:dyDescent="0.4">
      <c r="A8" s="366"/>
      <c r="D8" s="373"/>
      <c r="E8" s="3"/>
      <c r="G8" s="3"/>
      <c r="H8" s="2"/>
      <c r="I8" s="4"/>
      <c r="J8" s="4"/>
      <c r="N8" s="373" t="s">
        <v>1</v>
      </c>
      <c r="O8" s="3"/>
      <c r="P8" s="3"/>
      <c r="Q8" s="3"/>
      <c r="R8" s="2"/>
      <c r="S8" s="4"/>
      <c r="T8" s="4"/>
    </row>
    <row r="9" spans="1:20" ht="15.75" thickBot="1" x14ac:dyDescent="0.3">
      <c r="B9" s="374" t="s">
        <v>4</v>
      </c>
      <c r="C9" s="12"/>
      <c r="D9" s="375" t="s">
        <v>5</v>
      </c>
      <c r="E9" s="14" t="s">
        <v>6</v>
      </c>
      <c r="F9" s="14"/>
      <c r="G9" s="14"/>
      <c r="H9" s="376" t="s">
        <v>7</v>
      </c>
      <c r="I9" s="377" t="s">
        <v>8</v>
      </c>
      <c r="J9" s="200" t="s">
        <v>9</v>
      </c>
      <c r="L9" s="11" t="s">
        <v>4</v>
      </c>
      <c r="M9" s="12"/>
      <c r="N9" s="13" t="s">
        <v>5</v>
      </c>
      <c r="O9" s="14" t="s">
        <v>268</v>
      </c>
      <c r="P9" s="14"/>
      <c r="Q9" s="14"/>
      <c r="R9" s="15" t="s">
        <v>7</v>
      </c>
      <c r="S9" s="16" t="s">
        <v>8</v>
      </c>
      <c r="T9" s="17" t="s">
        <v>9</v>
      </c>
    </row>
    <row r="10" spans="1:20" x14ac:dyDescent="0.25">
      <c r="B10" s="378" t="s">
        <v>10</v>
      </c>
      <c r="C10" s="19" t="s">
        <v>11</v>
      </c>
      <c r="D10" s="114" t="s">
        <v>12</v>
      </c>
      <c r="E10" s="379" t="s">
        <v>13</v>
      </c>
      <c r="F10" s="379" t="s">
        <v>14</v>
      </c>
      <c r="G10" s="379" t="s">
        <v>15</v>
      </c>
      <c r="H10" s="39" t="s">
        <v>16</v>
      </c>
      <c r="I10" s="23" t="s">
        <v>17</v>
      </c>
      <c r="J10" s="24" t="s">
        <v>18</v>
      </c>
      <c r="L10" s="18" t="s">
        <v>10</v>
      </c>
      <c r="M10" s="19" t="s">
        <v>11</v>
      </c>
      <c r="N10" s="20" t="s">
        <v>12</v>
      </c>
      <c r="O10" s="21" t="s">
        <v>13</v>
      </c>
      <c r="P10" s="21" t="s">
        <v>14</v>
      </c>
      <c r="Q10" s="21" t="s">
        <v>15</v>
      </c>
      <c r="R10" s="22" t="s">
        <v>16</v>
      </c>
      <c r="S10" s="23" t="s">
        <v>17</v>
      </c>
      <c r="T10" s="24" t="s">
        <v>18</v>
      </c>
    </row>
    <row r="11" spans="1:20" ht="15.75" thickBot="1" x14ac:dyDescent="0.3">
      <c r="B11" s="380"/>
      <c r="C11" s="26"/>
      <c r="D11" s="381"/>
      <c r="E11" s="29" t="s">
        <v>19</v>
      </c>
      <c r="F11" s="29" t="s">
        <v>20</v>
      </c>
      <c r="G11" s="29" t="s">
        <v>21</v>
      </c>
      <c r="H11" s="29" t="s">
        <v>22</v>
      </c>
      <c r="I11" s="30" t="s">
        <v>23</v>
      </c>
      <c r="J11" s="31" t="s">
        <v>24</v>
      </c>
      <c r="L11" s="25"/>
      <c r="M11" s="26"/>
      <c r="N11" s="381"/>
      <c r="O11" s="28" t="s">
        <v>19</v>
      </c>
      <c r="P11" s="28" t="s">
        <v>20</v>
      </c>
      <c r="Q11" s="28" t="s">
        <v>21</v>
      </c>
      <c r="R11" s="29" t="s">
        <v>22</v>
      </c>
      <c r="S11" s="30" t="s">
        <v>23</v>
      </c>
      <c r="T11" s="31" t="s">
        <v>24</v>
      </c>
    </row>
    <row r="12" spans="1:20" x14ac:dyDescent="0.25">
      <c r="B12" s="12"/>
      <c r="C12" s="382" t="s">
        <v>217</v>
      </c>
      <c r="D12" s="383">
        <v>150</v>
      </c>
      <c r="E12" s="384">
        <v>4.202</v>
      </c>
      <c r="F12" s="385">
        <v>5.51</v>
      </c>
      <c r="G12" s="385">
        <v>35.652000000000001</v>
      </c>
      <c r="H12" s="386">
        <f>G12*4+F12*9+E12*4</f>
        <v>209.006</v>
      </c>
      <c r="I12" s="48">
        <v>2</v>
      </c>
      <c r="J12" s="387" t="s">
        <v>46</v>
      </c>
      <c r="L12" s="12"/>
      <c r="M12" s="413" t="s">
        <v>269</v>
      </c>
      <c r="N12" s="33">
        <v>200</v>
      </c>
      <c r="O12" s="476">
        <v>2.44</v>
      </c>
      <c r="P12" s="35">
        <v>4.0460000000000003</v>
      </c>
      <c r="Q12" s="35">
        <v>14.53</v>
      </c>
      <c r="R12" s="36">
        <f>Q12*4+P12*9+O12*4</f>
        <v>104.294</v>
      </c>
      <c r="S12" s="436">
        <v>1</v>
      </c>
      <c r="T12" s="442" t="s">
        <v>44</v>
      </c>
    </row>
    <row r="13" spans="1:20" x14ac:dyDescent="0.25">
      <c r="B13" s="388" t="s">
        <v>26</v>
      </c>
      <c r="C13" s="382" t="s">
        <v>218</v>
      </c>
      <c r="D13" s="89" t="s">
        <v>162</v>
      </c>
      <c r="E13" s="384">
        <v>12.26</v>
      </c>
      <c r="F13" s="385">
        <v>10.23</v>
      </c>
      <c r="G13" s="385">
        <v>10.6</v>
      </c>
      <c r="H13" s="386">
        <f>G13*4+F13*9+E13*4</f>
        <v>183.51</v>
      </c>
      <c r="I13" s="151">
        <v>11</v>
      </c>
      <c r="J13" s="46" t="s">
        <v>49</v>
      </c>
      <c r="L13" s="388" t="s">
        <v>26</v>
      </c>
      <c r="M13" s="382" t="s">
        <v>217</v>
      </c>
      <c r="N13" s="41">
        <v>165</v>
      </c>
      <c r="O13" s="384">
        <v>4.0220000000000002</v>
      </c>
      <c r="P13" s="43">
        <v>5.5110000000000001</v>
      </c>
      <c r="Q13" s="43">
        <v>31.376999999999999</v>
      </c>
      <c r="R13" s="44">
        <f>Q13*4+P13*9+O13*4</f>
        <v>191.19499999999999</v>
      </c>
      <c r="S13" s="48">
        <v>20</v>
      </c>
      <c r="T13" s="53" t="s">
        <v>46</v>
      </c>
    </row>
    <row r="14" spans="1:20" x14ac:dyDescent="0.25">
      <c r="B14" s="47" t="s">
        <v>29</v>
      </c>
      <c r="C14" s="183" t="s">
        <v>50</v>
      </c>
      <c r="D14" s="41">
        <v>200</v>
      </c>
      <c r="E14" s="42">
        <v>1</v>
      </c>
      <c r="F14" s="43">
        <v>0</v>
      </c>
      <c r="G14" s="43">
        <v>20.92</v>
      </c>
      <c r="H14" s="159">
        <f t="shared" ref="H14:H16" si="0">G14*4+F14*9+E14*4</f>
        <v>87.68</v>
      </c>
      <c r="I14" s="389">
        <v>25</v>
      </c>
      <c r="J14" s="53" t="s">
        <v>51</v>
      </c>
      <c r="L14" s="47" t="s">
        <v>29</v>
      </c>
      <c r="M14" s="382" t="s">
        <v>218</v>
      </c>
      <c r="N14" s="89" t="s">
        <v>270</v>
      </c>
      <c r="O14" s="42">
        <v>14.564</v>
      </c>
      <c r="P14" s="43">
        <v>11.722</v>
      </c>
      <c r="Q14" s="43">
        <v>10.44</v>
      </c>
      <c r="R14" s="44">
        <f>Q14*4+P14*9+O14*4</f>
        <v>205.51399999999998</v>
      </c>
      <c r="S14" s="151">
        <v>11</v>
      </c>
      <c r="T14" s="46" t="s">
        <v>49</v>
      </c>
    </row>
    <row r="15" spans="1:20" ht="15.75" x14ac:dyDescent="0.25">
      <c r="B15" s="50" t="s">
        <v>32</v>
      </c>
      <c r="C15" s="90" t="s">
        <v>33</v>
      </c>
      <c r="D15" s="390">
        <v>30</v>
      </c>
      <c r="E15" s="384">
        <v>1.575</v>
      </c>
      <c r="F15" s="385">
        <v>0.21299999999999999</v>
      </c>
      <c r="G15" s="385">
        <v>12.538</v>
      </c>
      <c r="H15" s="386">
        <f t="shared" si="0"/>
        <v>58.369</v>
      </c>
      <c r="I15" s="45">
        <v>22</v>
      </c>
      <c r="J15" s="53" t="s">
        <v>34</v>
      </c>
      <c r="L15" s="477" t="s">
        <v>32</v>
      </c>
      <c r="M15" s="183" t="s">
        <v>50</v>
      </c>
      <c r="N15" s="41">
        <v>200</v>
      </c>
      <c r="O15" s="42">
        <v>1</v>
      </c>
      <c r="P15" s="43">
        <v>0</v>
      </c>
      <c r="Q15" s="43">
        <v>20.92</v>
      </c>
      <c r="R15" s="159">
        <f t="shared" ref="R15" si="1">Q15*4+P15*9+O15*4</f>
        <v>87.68</v>
      </c>
      <c r="S15" s="389">
        <v>34</v>
      </c>
      <c r="T15" s="53" t="s">
        <v>51</v>
      </c>
    </row>
    <row r="16" spans="1:20" ht="15.75" thickBot="1" x14ac:dyDescent="0.3">
      <c r="B16" s="54" t="s">
        <v>35</v>
      </c>
      <c r="C16" s="90" t="s">
        <v>52</v>
      </c>
      <c r="D16" s="62">
        <v>20</v>
      </c>
      <c r="E16" s="384">
        <v>1.1299999999999999</v>
      </c>
      <c r="F16" s="385">
        <v>0.24</v>
      </c>
      <c r="G16" s="385">
        <v>8.3699999999999992</v>
      </c>
      <c r="H16" s="386">
        <f t="shared" si="0"/>
        <v>40.159999999999997</v>
      </c>
      <c r="I16" s="48">
        <v>23</v>
      </c>
      <c r="J16" s="165" t="s">
        <v>34</v>
      </c>
      <c r="L16" s="47" t="s">
        <v>35</v>
      </c>
      <c r="M16" s="90" t="s">
        <v>33</v>
      </c>
      <c r="N16" s="41">
        <v>50</v>
      </c>
      <c r="O16" s="42">
        <v>2.5499999999999998</v>
      </c>
      <c r="P16" s="43">
        <v>0.42499999999999999</v>
      </c>
      <c r="Q16" s="43">
        <v>25.074999999999999</v>
      </c>
      <c r="R16" s="159">
        <f>Q16*4+P16*9+O16*4</f>
        <v>114.325</v>
      </c>
      <c r="S16" s="45">
        <v>31</v>
      </c>
      <c r="T16" s="53" t="s">
        <v>34</v>
      </c>
    </row>
    <row r="17" spans="2:20" ht="15.75" thickBot="1" x14ac:dyDescent="0.3">
      <c r="B17" s="391" t="s">
        <v>39</v>
      </c>
      <c r="C17" s="117"/>
      <c r="D17" s="392"/>
      <c r="E17" s="393">
        <f>SUM(E12:E16)</f>
        <v>20.166999999999998</v>
      </c>
      <c r="F17" s="394">
        <f>SUM(F12:F16)</f>
        <v>16.192999999999998</v>
      </c>
      <c r="G17" s="394">
        <f>SUM(G12:G16)</f>
        <v>88.08</v>
      </c>
      <c r="H17" s="111">
        <f>SUM(H12:H16)</f>
        <v>578.72499999999991</v>
      </c>
      <c r="I17" s="395" t="s">
        <v>40</v>
      </c>
      <c r="J17" s="76"/>
      <c r="L17" s="77"/>
      <c r="M17" s="90" t="s">
        <v>52</v>
      </c>
      <c r="N17" s="62">
        <v>20</v>
      </c>
      <c r="O17" s="42">
        <v>1.1299999999999999</v>
      </c>
      <c r="P17" s="43">
        <v>0.24</v>
      </c>
      <c r="Q17" s="43">
        <v>8.3699999999999992</v>
      </c>
      <c r="R17" s="159">
        <f>Q17*4+P17*9+O17*4</f>
        <v>40.159999999999997</v>
      </c>
      <c r="S17" s="48">
        <v>32</v>
      </c>
      <c r="T17" s="165" t="s">
        <v>34</v>
      </c>
    </row>
    <row r="18" spans="2:20" ht="15.75" thickBot="1" x14ac:dyDescent="0.3">
      <c r="B18" s="396" t="s">
        <v>56</v>
      </c>
      <c r="C18" s="316"/>
      <c r="D18" s="397"/>
      <c r="E18" s="398">
        <v>19.25</v>
      </c>
      <c r="F18" s="399">
        <v>19.75</v>
      </c>
      <c r="G18" s="399">
        <v>83.75</v>
      </c>
      <c r="H18" s="400">
        <v>587.5</v>
      </c>
      <c r="I18" s="401" t="s">
        <v>55</v>
      </c>
      <c r="J18" s="83">
        <f>D12+D14+D15+D16+100</f>
        <v>500</v>
      </c>
      <c r="L18" s="101" t="s">
        <v>53</v>
      </c>
      <c r="M18" s="117"/>
      <c r="N18" s="392"/>
      <c r="O18" s="393">
        <f>SUM(O12:O17)</f>
        <v>25.706</v>
      </c>
      <c r="P18" s="394">
        <f>SUM(P12:P17)</f>
        <v>21.943999999999999</v>
      </c>
      <c r="Q18" s="394">
        <f>SUM(Q12:Q17)</f>
        <v>110.712</v>
      </c>
      <c r="R18" s="478">
        <f>SUM(R12:R17)</f>
        <v>743.16800000000001</v>
      </c>
      <c r="S18" s="107" t="s">
        <v>40</v>
      </c>
      <c r="T18" s="76"/>
    </row>
    <row r="19" spans="2:20" ht="15.75" thickBot="1" x14ac:dyDescent="0.3">
      <c r="D19" s="3"/>
      <c r="E19" s="3"/>
      <c r="F19" s="3"/>
      <c r="G19" s="3"/>
      <c r="H19" s="3"/>
      <c r="I19" s="3"/>
      <c r="J19" s="3"/>
      <c r="L19" s="396" t="s">
        <v>56</v>
      </c>
      <c r="M19" s="316"/>
      <c r="N19" s="397"/>
      <c r="O19" s="398">
        <v>26.95</v>
      </c>
      <c r="P19" s="399">
        <v>27.65</v>
      </c>
      <c r="Q19" s="399">
        <v>117.25</v>
      </c>
      <c r="R19" s="400">
        <v>822.5</v>
      </c>
      <c r="S19" s="401" t="s">
        <v>55</v>
      </c>
      <c r="T19" s="83">
        <f>N12+N13+N15+N16+N17+70+50</f>
        <v>755</v>
      </c>
    </row>
    <row r="20" spans="2:20" ht="15.75" thickBot="1" x14ac:dyDescent="0.3">
      <c r="B20" s="11" t="s">
        <v>4</v>
      </c>
      <c r="C20" s="12"/>
      <c r="D20" s="13" t="s">
        <v>5</v>
      </c>
      <c r="E20" s="14" t="s">
        <v>6</v>
      </c>
      <c r="F20" s="14"/>
      <c r="G20" s="14"/>
      <c r="H20" s="15" t="s">
        <v>7</v>
      </c>
      <c r="I20" s="16" t="s">
        <v>8</v>
      </c>
      <c r="J20" s="17" t="s">
        <v>9</v>
      </c>
      <c r="N20" s="3"/>
      <c r="O20" s="3"/>
      <c r="P20" s="3"/>
      <c r="Q20" s="3"/>
      <c r="R20" s="3"/>
      <c r="S20" s="3"/>
      <c r="T20" s="3"/>
    </row>
    <row r="21" spans="2:20" ht="15.75" thickBot="1" x14ac:dyDescent="0.3">
      <c r="B21" s="18" t="s">
        <v>10</v>
      </c>
      <c r="C21" s="19" t="s">
        <v>11</v>
      </c>
      <c r="D21" s="20" t="s">
        <v>12</v>
      </c>
      <c r="E21" s="21" t="s">
        <v>13</v>
      </c>
      <c r="F21" s="21" t="s">
        <v>14</v>
      </c>
      <c r="G21" s="21" t="s">
        <v>15</v>
      </c>
      <c r="H21" s="22" t="s">
        <v>16</v>
      </c>
      <c r="I21" s="23" t="s">
        <v>17</v>
      </c>
      <c r="J21" s="24" t="s">
        <v>18</v>
      </c>
      <c r="L21" s="11" t="s">
        <v>4</v>
      </c>
      <c r="M21" s="12"/>
      <c r="N21" s="13" t="s">
        <v>5</v>
      </c>
      <c r="O21" s="14" t="s">
        <v>6</v>
      </c>
      <c r="P21" s="14"/>
      <c r="Q21" s="14"/>
      <c r="R21" s="15" t="s">
        <v>7</v>
      </c>
      <c r="S21" s="16" t="s">
        <v>8</v>
      </c>
      <c r="T21" s="17" t="s">
        <v>9</v>
      </c>
    </row>
    <row r="22" spans="2:20" ht="15.75" thickBot="1" x14ac:dyDescent="0.3">
      <c r="B22" s="402"/>
      <c r="C22" s="26"/>
      <c r="D22" s="381"/>
      <c r="E22" s="28" t="s">
        <v>19</v>
      </c>
      <c r="F22" s="28" t="s">
        <v>20</v>
      </c>
      <c r="G22" s="28" t="s">
        <v>21</v>
      </c>
      <c r="H22" s="29" t="s">
        <v>22</v>
      </c>
      <c r="I22" s="30" t="s">
        <v>23</v>
      </c>
      <c r="J22" s="31" t="s">
        <v>24</v>
      </c>
      <c r="L22" s="18" t="s">
        <v>10</v>
      </c>
      <c r="M22" s="19" t="s">
        <v>11</v>
      </c>
      <c r="N22" s="20" t="s">
        <v>12</v>
      </c>
      <c r="O22" s="21" t="s">
        <v>13</v>
      </c>
      <c r="P22" s="21" t="s">
        <v>14</v>
      </c>
      <c r="Q22" s="21" t="s">
        <v>15</v>
      </c>
      <c r="R22" s="22" t="s">
        <v>16</v>
      </c>
      <c r="S22" s="23" t="s">
        <v>17</v>
      </c>
      <c r="T22" s="24" t="s">
        <v>18</v>
      </c>
    </row>
    <row r="23" spans="2:20" ht="15.75" thickBot="1" x14ac:dyDescent="0.3">
      <c r="B23" s="200" t="s">
        <v>26</v>
      </c>
      <c r="C23" s="403" t="s">
        <v>219</v>
      </c>
      <c r="D23" s="404" t="s">
        <v>220</v>
      </c>
      <c r="E23" s="405">
        <v>11.952</v>
      </c>
      <c r="F23" s="406">
        <v>9.9359999999999999</v>
      </c>
      <c r="G23" s="407">
        <v>11.292</v>
      </c>
      <c r="H23" s="140">
        <f>G23*4+F23*9+E23*4</f>
        <v>182.4</v>
      </c>
      <c r="I23" s="408">
        <v>17</v>
      </c>
      <c r="J23" s="387" t="s">
        <v>221</v>
      </c>
      <c r="L23" s="25"/>
      <c r="M23" s="26"/>
      <c r="N23" s="381"/>
      <c r="O23" s="28" t="s">
        <v>19</v>
      </c>
      <c r="P23" s="28" t="s">
        <v>20</v>
      </c>
      <c r="Q23" s="28" t="s">
        <v>21</v>
      </c>
      <c r="R23" s="29" t="s">
        <v>22</v>
      </c>
      <c r="S23" s="30" t="s">
        <v>23</v>
      </c>
      <c r="T23" s="31" t="s">
        <v>24</v>
      </c>
    </row>
    <row r="24" spans="2:20" x14ac:dyDescent="0.25">
      <c r="B24" s="47" t="s">
        <v>29</v>
      </c>
      <c r="C24" s="409" t="s">
        <v>222</v>
      </c>
      <c r="D24" s="410">
        <v>150</v>
      </c>
      <c r="E24" s="125">
        <v>3.1</v>
      </c>
      <c r="F24" s="126">
        <v>9.157</v>
      </c>
      <c r="G24" s="127">
        <v>17.986000000000001</v>
      </c>
      <c r="H24" s="59">
        <f t="shared" ref="H24:H25" si="2">G24*4+F24*9+E24*4</f>
        <v>166.75700000000001</v>
      </c>
      <c r="I24" s="206">
        <v>4</v>
      </c>
      <c r="J24" s="49" t="s">
        <v>223</v>
      </c>
      <c r="L24" s="12"/>
      <c r="M24" s="479" t="s">
        <v>271</v>
      </c>
      <c r="N24" s="33" t="s">
        <v>272</v>
      </c>
      <c r="O24" s="480">
        <v>5.39</v>
      </c>
      <c r="P24" s="96">
        <v>3.41</v>
      </c>
      <c r="Q24" s="96">
        <v>10.99</v>
      </c>
      <c r="R24" s="98">
        <f t="shared" ref="R24:R30" si="3">Q24*4+P24*9+O24*4</f>
        <v>96.210000000000008</v>
      </c>
      <c r="S24" s="481">
        <v>2</v>
      </c>
      <c r="T24" s="387" t="s">
        <v>63</v>
      </c>
    </row>
    <row r="25" spans="2:20" ht="15.75" x14ac:dyDescent="0.25">
      <c r="B25" s="50" t="s">
        <v>32</v>
      </c>
      <c r="C25" s="90" t="s">
        <v>30</v>
      </c>
      <c r="D25" s="41">
        <v>200</v>
      </c>
      <c r="E25" s="149">
        <v>4.5</v>
      </c>
      <c r="F25" s="96">
        <v>3.7</v>
      </c>
      <c r="G25" s="96">
        <v>19.600000000000001</v>
      </c>
      <c r="H25" s="150">
        <f t="shared" si="2"/>
        <v>129.70000000000002</v>
      </c>
      <c r="I25" s="151">
        <v>28</v>
      </c>
      <c r="J25" s="53" t="s">
        <v>31</v>
      </c>
      <c r="L25" s="388" t="s">
        <v>26</v>
      </c>
      <c r="M25" s="479" t="s">
        <v>58</v>
      </c>
      <c r="N25" s="41">
        <v>150</v>
      </c>
      <c r="O25" s="187">
        <v>13.94</v>
      </c>
      <c r="P25" s="92">
        <v>24.827999999999999</v>
      </c>
      <c r="Q25" s="188">
        <v>2.6379999999999999</v>
      </c>
      <c r="R25" s="44">
        <f t="shared" si="3"/>
        <v>289.76400000000001</v>
      </c>
      <c r="S25" s="482">
        <v>27</v>
      </c>
      <c r="T25" s="53" t="s">
        <v>273</v>
      </c>
    </row>
    <row r="26" spans="2:20" x14ac:dyDescent="0.25">
      <c r="B26" s="54" t="s">
        <v>62</v>
      </c>
      <c r="C26" s="169" t="s">
        <v>33</v>
      </c>
      <c r="D26" s="171">
        <v>40</v>
      </c>
      <c r="E26" s="384">
        <v>2.04</v>
      </c>
      <c r="F26" s="385">
        <v>0.34</v>
      </c>
      <c r="G26" s="385">
        <v>20.059999999999999</v>
      </c>
      <c r="H26" s="386">
        <f>G26*4+F26*9+E26*4</f>
        <v>91.46</v>
      </c>
      <c r="I26" s="45">
        <v>22</v>
      </c>
      <c r="J26" s="53" t="s">
        <v>34</v>
      </c>
      <c r="L26" s="47" t="s">
        <v>29</v>
      </c>
      <c r="M26" s="90" t="s">
        <v>30</v>
      </c>
      <c r="N26" s="148">
        <v>200</v>
      </c>
      <c r="O26" s="480">
        <v>4.5</v>
      </c>
      <c r="P26" s="96">
        <v>3.7</v>
      </c>
      <c r="Q26" s="96">
        <v>19.600000000000001</v>
      </c>
      <c r="R26" s="150">
        <f t="shared" si="3"/>
        <v>129.70000000000002</v>
      </c>
      <c r="S26" s="151">
        <v>37</v>
      </c>
      <c r="T26" s="53" t="s">
        <v>31</v>
      </c>
    </row>
    <row r="27" spans="2:20" ht="16.5" thickBot="1" x14ac:dyDescent="0.3">
      <c r="B27" s="77"/>
      <c r="C27" s="169" t="s">
        <v>36</v>
      </c>
      <c r="D27" s="171">
        <v>20</v>
      </c>
      <c r="E27" s="384">
        <v>1.1299999999999999</v>
      </c>
      <c r="F27" s="385">
        <v>0.24</v>
      </c>
      <c r="G27" s="385">
        <v>8.3699999999999992</v>
      </c>
      <c r="H27" s="386">
        <f>G27*4+F27*9+E27*4</f>
        <v>40.159999999999997</v>
      </c>
      <c r="I27" s="48">
        <v>23</v>
      </c>
      <c r="J27" s="165" t="s">
        <v>34</v>
      </c>
      <c r="L27" s="477" t="s">
        <v>32</v>
      </c>
      <c r="M27" s="90" t="s">
        <v>256</v>
      </c>
      <c r="N27" s="41">
        <v>15</v>
      </c>
      <c r="O27" s="187">
        <v>0.63</v>
      </c>
      <c r="P27" s="188">
        <v>0.26</v>
      </c>
      <c r="Q27" s="188">
        <v>6</v>
      </c>
      <c r="R27" s="159">
        <f t="shared" si="3"/>
        <v>28.86</v>
      </c>
      <c r="S27" s="45">
        <v>30</v>
      </c>
      <c r="T27" s="53" t="s">
        <v>34</v>
      </c>
    </row>
    <row r="28" spans="2:20" ht="15.75" thickBot="1" x14ac:dyDescent="0.3">
      <c r="B28" s="391" t="s">
        <v>39</v>
      </c>
      <c r="C28" s="117"/>
      <c r="D28" s="392"/>
      <c r="E28" s="411">
        <f>SUM(E23:E27)</f>
        <v>22.721999999999998</v>
      </c>
      <c r="F28" s="111">
        <f>SUM(F23:F27)</f>
        <v>23.372999999999998</v>
      </c>
      <c r="G28" s="412">
        <f>SUM(G23:G27)</f>
        <v>77.308000000000007</v>
      </c>
      <c r="H28" s="111">
        <f>SUM(H23:H27)</f>
        <v>610.47700000000009</v>
      </c>
      <c r="I28" s="395" t="s">
        <v>40</v>
      </c>
      <c r="J28" s="76"/>
      <c r="L28" s="47" t="s">
        <v>62</v>
      </c>
      <c r="M28" s="433" t="s">
        <v>33</v>
      </c>
      <c r="N28" s="41">
        <v>40</v>
      </c>
      <c r="O28" s="42">
        <v>2.04</v>
      </c>
      <c r="P28" s="43">
        <v>0.34</v>
      </c>
      <c r="Q28" s="43">
        <v>20.059999999999999</v>
      </c>
      <c r="R28" s="159">
        <f t="shared" si="3"/>
        <v>91.46</v>
      </c>
      <c r="S28" s="389">
        <v>31</v>
      </c>
      <c r="T28" s="53" t="s">
        <v>34</v>
      </c>
    </row>
    <row r="29" spans="2:20" ht="15.75" thickBot="1" x14ac:dyDescent="0.3">
      <c r="B29" s="396" t="s">
        <v>56</v>
      </c>
      <c r="C29" s="316"/>
      <c r="D29" s="397"/>
      <c r="E29" s="398">
        <v>19.25</v>
      </c>
      <c r="F29" s="399">
        <v>19.75</v>
      </c>
      <c r="G29" s="399">
        <v>83.75</v>
      </c>
      <c r="H29" s="400">
        <v>587.5</v>
      </c>
      <c r="I29" s="401" t="s">
        <v>55</v>
      </c>
      <c r="J29" s="83">
        <f>D24+D25+D26+D27+120</f>
        <v>530</v>
      </c>
      <c r="L29" s="77"/>
      <c r="M29" s="90" t="s">
        <v>52</v>
      </c>
      <c r="N29" s="41">
        <v>20</v>
      </c>
      <c r="O29" s="42">
        <v>1.1299999999999999</v>
      </c>
      <c r="P29" s="43">
        <v>0.24</v>
      </c>
      <c r="Q29" s="43">
        <v>8.3699999999999992</v>
      </c>
      <c r="R29" s="159">
        <f t="shared" si="3"/>
        <v>40.159999999999997</v>
      </c>
      <c r="S29" s="48">
        <v>32</v>
      </c>
      <c r="T29" s="53" t="s">
        <v>34</v>
      </c>
    </row>
    <row r="30" spans="2:20" ht="15.75" thickBot="1" x14ac:dyDescent="0.3">
      <c r="D30" s="3"/>
      <c r="E30" s="3"/>
      <c r="F30" s="3"/>
      <c r="G30" s="3"/>
      <c r="H30" s="3"/>
      <c r="I30" s="3"/>
      <c r="J30" s="3"/>
      <c r="L30" s="77"/>
      <c r="M30" s="132" t="s">
        <v>37</v>
      </c>
      <c r="N30" s="62">
        <v>155</v>
      </c>
      <c r="O30" s="57">
        <v>0.62</v>
      </c>
      <c r="P30" s="427">
        <v>0.62</v>
      </c>
      <c r="Q30" s="58">
        <v>15.19</v>
      </c>
      <c r="R30" s="59">
        <f t="shared" si="3"/>
        <v>68.820000000000007</v>
      </c>
      <c r="S30" s="482">
        <v>33</v>
      </c>
      <c r="T30" s="49" t="s">
        <v>230</v>
      </c>
    </row>
    <row r="31" spans="2:20" ht="15.75" thickBot="1" x14ac:dyDescent="0.3">
      <c r="B31" s="11" t="s">
        <v>4</v>
      </c>
      <c r="C31" s="12"/>
      <c r="D31" s="13" t="s">
        <v>5</v>
      </c>
      <c r="E31" s="14" t="s">
        <v>6</v>
      </c>
      <c r="F31" s="14"/>
      <c r="G31" s="14"/>
      <c r="H31" s="15" t="s">
        <v>7</v>
      </c>
      <c r="I31" s="16" t="s">
        <v>8</v>
      </c>
      <c r="J31" s="17" t="s">
        <v>9</v>
      </c>
      <c r="L31" s="101" t="s">
        <v>53</v>
      </c>
      <c r="M31" s="117"/>
      <c r="N31" s="392"/>
      <c r="O31" s="393">
        <f>SUM(O24:O30)</f>
        <v>28.249999999999996</v>
      </c>
      <c r="P31" s="394">
        <f>SUM(P24:P30)</f>
        <v>33.398000000000003</v>
      </c>
      <c r="Q31" s="394">
        <f>SUM(Q24:Q30)</f>
        <v>82.847999999999999</v>
      </c>
      <c r="R31" s="478">
        <f>SUM(R24:R30)</f>
        <v>744.97400000000016</v>
      </c>
      <c r="S31" s="107" t="s">
        <v>40</v>
      </c>
      <c r="T31" s="76"/>
    </row>
    <row r="32" spans="2:20" ht="15.75" thickBot="1" x14ac:dyDescent="0.3">
      <c r="B32" s="18" t="s">
        <v>10</v>
      </c>
      <c r="C32" s="19" t="s">
        <v>11</v>
      </c>
      <c r="D32" s="20" t="s">
        <v>12</v>
      </c>
      <c r="E32" s="21" t="s">
        <v>13</v>
      </c>
      <c r="F32" s="21" t="s">
        <v>14</v>
      </c>
      <c r="G32" s="21" t="s">
        <v>15</v>
      </c>
      <c r="H32" s="22" t="s">
        <v>16</v>
      </c>
      <c r="I32" s="23" t="s">
        <v>17</v>
      </c>
      <c r="J32" s="24" t="s">
        <v>18</v>
      </c>
      <c r="L32" s="396" t="s">
        <v>56</v>
      </c>
      <c r="M32" s="316"/>
      <c r="N32" s="397"/>
      <c r="O32" s="398">
        <v>26.95</v>
      </c>
      <c r="P32" s="399">
        <v>27.65</v>
      </c>
      <c r="Q32" s="399">
        <v>117.25</v>
      </c>
      <c r="R32" s="400">
        <v>822.5</v>
      </c>
      <c r="S32" s="401" t="s">
        <v>55</v>
      </c>
      <c r="T32" s="83">
        <f>N25+N26+N27+N28+N29+N30+200+50</f>
        <v>830</v>
      </c>
    </row>
    <row r="33" spans="2:20" ht="15.75" thickBot="1" x14ac:dyDescent="0.3">
      <c r="B33" s="402"/>
      <c r="C33" s="26"/>
      <c r="D33" s="381"/>
      <c r="E33" s="28" t="s">
        <v>19</v>
      </c>
      <c r="F33" s="28" t="s">
        <v>20</v>
      </c>
      <c r="G33" s="28" t="s">
        <v>21</v>
      </c>
      <c r="H33" s="29" t="s">
        <v>22</v>
      </c>
      <c r="I33" s="30" t="s">
        <v>23</v>
      </c>
      <c r="J33" s="31" t="s">
        <v>24</v>
      </c>
      <c r="N33" s="3"/>
      <c r="O33" s="3"/>
      <c r="P33" s="3"/>
      <c r="Q33" s="3"/>
      <c r="R33" s="3"/>
      <c r="S33" s="3"/>
      <c r="T33" s="3"/>
    </row>
    <row r="34" spans="2:20" ht="15.75" thickBot="1" x14ac:dyDescent="0.3">
      <c r="B34" s="200" t="s">
        <v>26</v>
      </c>
      <c r="C34" s="413" t="s">
        <v>79</v>
      </c>
      <c r="D34" s="33">
        <v>60</v>
      </c>
      <c r="E34" s="187">
        <v>1</v>
      </c>
      <c r="F34" s="414">
        <v>3</v>
      </c>
      <c r="G34" s="188">
        <v>4.7</v>
      </c>
      <c r="H34" s="44">
        <f t="shared" ref="H34:H38" si="4">G34*4+F34*9+E34*4</f>
        <v>49.8</v>
      </c>
      <c r="I34" s="415">
        <v>7</v>
      </c>
      <c r="J34" s="416" t="s">
        <v>224</v>
      </c>
      <c r="L34" s="11" t="s">
        <v>4</v>
      </c>
      <c r="M34" s="12"/>
      <c r="N34" s="13" t="s">
        <v>5</v>
      </c>
      <c r="O34" s="14" t="s">
        <v>6</v>
      </c>
      <c r="P34" s="14"/>
      <c r="Q34" s="14"/>
      <c r="R34" s="15" t="s">
        <v>7</v>
      </c>
      <c r="S34" s="16" t="s">
        <v>8</v>
      </c>
      <c r="T34" s="17" t="s">
        <v>9</v>
      </c>
    </row>
    <row r="35" spans="2:20" x14ac:dyDescent="0.25">
      <c r="B35" s="47" t="s">
        <v>29</v>
      </c>
      <c r="C35" s="417" t="s">
        <v>81</v>
      </c>
      <c r="D35" s="390">
        <v>180</v>
      </c>
      <c r="E35" s="42">
        <v>11.96</v>
      </c>
      <c r="F35" s="43">
        <v>12.635</v>
      </c>
      <c r="G35" s="176">
        <v>13.192299999999999</v>
      </c>
      <c r="H35" s="44">
        <f t="shared" si="4"/>
        <v>214.32419999999999</v>
      </c>
      <c r="I35" s="177">
        <v>12</v>
      </c>
      <c r="J35" s="53" t="s">
        <v>82</v>
      </c>
      <c r="L35" s="18" t="s">
        <v>10</v>
      </c>
      <c r="M35" s="19" t="s">
        <v>11</v>
      </c>
      <c r="N35" s="20" t="s">
        <v>12</v>
      </c>
      <c r="O35" s="21" t="s">
        <v>13</v>
      </c>
      <c r="P35" s="21" t="s">
        <v>14</v>
      </c>
      <c r="Q35" s="21" t="s">
        <v>15</v>
      </c>
      <c r="R35" s="22" t="s">
        <v>16</v>
      </c>
      <c r="S35" s="23" t="s">
        <v>17</v>
      </c>
      <c r="T35" s="24" t="s">
        <v>18</v>
      </c>
    </row>
    <row r="36" spans="2:20" ht="16.5" thickBot="1" x14ac:dyDescent="0.3">
      <c r="B36" s="50" t="s">
        <v>32</v>
      </c>
      <c r="C36" s="186" t="s">
        <v>70</v>
      </c>
      <c r="D36" s="390">
        <v>200</v>
      </c>
      <c r="E36" s="42">
        <v>0.66200000000000003</v>
      </c>
      <c r="F36" s="43">
        <v>0.09</v>
      </c>
      <c r="G36" s="43">
        <v>31.05</v>
      </c>
      <c r="H36" s="44">
        <f t="shared" si="4"/>
        <v>127.658</v>
      </c>
      <c r="I36" s="418">
        <v>26</v>
      </c>
      <c r="J36" s="53" t="s">
        <v>71</v>
      </c>
      <c r="L36" s="25"/>
      <c r="M36" s="26"/>
      <c r="N36" s="381"/>
      <c r="O36" s="28" t="s">
        <v>19</v>
      </c>
      <c r="P36" s="28" t="s">
        <v>20</v>
      </c>
      <c r="Q36" s="28" t="s">
        <v>21</v>
      </c>
      <c r="R36" s="29" t="s">
        <v>22</v>
      </c>
      <c r="S36" s="30" t="s">
        <v>23</v>
      </c>
      <c r="T36" s="31" t="s">
        <v>24</v>
      </c>
    </row>
    <row r="37" spans="2:20" x14ac:dyDescent="0.25">
      <c r="B37" s="54" t="s">
        <v>76</v>
      </c>
      <c r="C37" s="417" t="s">
        <v>33</v>
      </c>
      <c r="D37" s="419">
        <v>30</v>
      </c>
      <c r="E37" s="384">
        <v>1.575</v>
      </c>
      <c r="F37" s="385">
        <v>0.21299999999999999</v>
      </c>
      <c r="G37" s="385">
        <v>12.538</v>
      </c>
      <c r="H37" s="386">
        <f t="shared" si="4"/>
        <v>58.369</v>
      </c>
      <c r="I37" s="45">
        <v>22</v>
      </c>
      <c r="J37" s="53" t="s">
        <v>34</v>
      </c>
      <c r="L37" s="200" t="s">
        <v>26</v>
      </c>
      <c r="M37" s="479" t="s">
        <v>77</v>
      </c>
      <c r="N37" s="33">
        <v>200</v>
      </c>
      <c r="O37" s="480">
        <v>3.89</v>
      </c>
      <c r="P37" s="96">
        <v>5.8</v>
      </c>
      <c r="Q37" s="96">
        <v>14.97</v>
      </c>
      <c r="R37" s="98">
        <f t="shared" ref="R37:R39" si="5">Q37*4+P37*9+O37*4</f>
        <v>127.64</v>
      </c>
      <c r="S37" s="37">
        <v>3</v>
      </c>
      <c r="T37" s="442" t="s">
        <v>78</v>
      </c>
    </row>
    <row r="38" spans="2:20" ht="15.75" thickBot="1" x14ac:dyDescent="0.3">
      <c r="B38" s="77"/>
      <c r="C38" s="417" t="s">
        <v>36</v>
      </c>
      <c r="D38" s="390">
        <v>30</v>
      </c>
      <c r="E38" s="384">
        <v>1.6950000000000001</v>
      </c>
      <c r="F38" s="385">
        <v>0.36</v>
      </c>
      <c r="G38" s="385">
        <v>15.555</v>
      </c>
      <c r="H38" s="386">
        <f t="shared" si="4"/>
        <v>72.239999999999995</v>
      </c>
      <c r="I38" s="48">
        <v>23</v>
      </c>
      <c r="J38" s="420" t="s">
        <v>34</v>
      </c>
      <c r="L38" s="47" t="s">
        <v>29</v>
      </c>
      <c r="M38" s="433" t="s">
        <v>274</v>
      </c>
      <c r="N38" s="41">
        <v>60</v>
      </c>
      <c r="O38" s="187">
        <v>1</v>
      </c>
      <c r="P38" s="414">
        <v>3</v>
      </c>
      <c r="Q38" s="188">
        <v>4.7</v>
      </c>
      <c r="R38" s="44">
        <f t="shared" si="5"/>
        <v>49.8</v>
      </c>
      <c r="S38" s="48">
        <v>25</v>
      </c>
      <c r="T38" s="483" t="s">
        <v>80</v>
      </c>
    </row>
    <row r="39" spans="2:20" ht="16.5" thickBot="1" x14ac:dyDescent="0.3">
      <c r="B39" s="391" t="s">
        <v>39</v>
      </c>
      <c r="C39" s="117"/>
      <c r="D39" s="392"/>
      <c r="E39" s="393">
        <f>SUM(E34:E38)</f>
        <v>16.891999999999999</v>
      </c>
      <c r="F39" s="421">
        <f>SUM(F34:F38)</f>
        <v>16.297999999999998</v>
      </c>
      <c r="G39" s="394">
        <f>SUM(G34:G38)</f>
        <v>77.035300000000007</v>
      </c>
      <c r="H39" s="111">
        <f>SUM(H34:H38)</f>
        <v>522.39120000000003</v>
      </c>
      <c r="I39" s="395" t="s">
        <v>40</v>
      </c>
      <c r="J39" s="76"/>
      <c r="L39" s="477" t="s">
        <v>32</v>
      </c>
      <c r="M39" s="433" t="s">
        <v>275</v>
      </c>
      <c r="N39" s="41" t="s">
        <v>276</v>
      </c>
      <c r="O39" s="42">
        <v>14.348000000000001</v>
      </c>
      <c r="P39" s="43">
        <v>16.963000000000001</v>
      </c>
      <c r="Q39" s="176">
        <v>15.614000000000001</v>
      </c>
      <c r="R39" s="44">
        <f t="shared" si="5"/>
        <v>272.51499999999999</v>
      </c>
      <c r="S39" s="177">
        <v>12</v>
      </c>
      <c r="T39" s="53" t="s">
        <v>82</v>
      </c>
    </row>
    <row r="40" spans="2:20" ht="15.75" thickBot="1" x14ac:dyDescent="0.3">
      <c r="B40" s="396" t="s">
        <v>56</v>
      </c>
      <c r="C40" s="316"/>
      <c r="D40" s="397"/>
      <c r="E40" s="398">
        <v>19.25</v>
      </c>
      <c r="F40" s="399">
        <v>19.75</v>
      </c>
      <c r="G40" s="399">
        <v>83.75</v>
      </c>
      <c r="H40" s="400">
        <v>587.5</v>
      </c>
      <c r="I40" s="401" t="s">
        <v>55</v>
      </c>
      <c r="J40" s="83">
        <f>D34+D35+D36+D37+D38</f>
        <v>500</v>
      </c>
      <c r="L40" s="47" t="s">
        <v>76</v>
      </c>
      <c r="M40" s="433" t="s">
        <v>277</v>
      </c>
      <c r="N40" s="41">
        <v>200</v>
      </c>
      <c r="O40" s="42">
        <v>0.66200000000000003</v>
      </c>
      <c r="P40" s="43">
        <v>0.09</v>
      </c>
      <c r="Q40" s="43">
        <v>32.85</v>
      </c>
      <c r="R40" s="44">
        <f>Q40*4+P40*9+O40*4</f>
        <v>134.858</v>
      </c>
      <c r="S40" s="99">
        <v>35</v>
      </c>
      <c r="T40" s="53" t="s">
        <v>71</v>
      </c>
    </row>
    <row r="41" spans="2:20" ht="15.75" thickBot="1" x14ac:dyDescent="0.3">
      <c r="D41" s="3"/>
      <c r="E41" s="3"/>
      <c r="F41" s="3"/>
      <c r="G41" s="3"/>
      <c r="H41" s="3"/>
      <c r="I41" s="3"/>
      <c r="J41" s="3"/>
      <c r="L41" s="77"/>
      <c r="M41" s="433" t="s">
        <v>33</v>
      </c>
      <c r="N41" s="41">
        <v>40</v>
      </c>
      <c r="O41" s="42">
        <v>2.04</v>
      </c>
      <c r="P41" s="43">
        <v>0.34</v>
      </c>
      <c r="Q41" s="43">
        <v>20.059999999999999</v>
      </c>
      <c r="R41" s="159">
        <f t="shared" ref="R41:R42" si="6">Q41*4+P41*9+O41*4</f>
        <v>91.46</v>
      </c>
      <c r="S41" s="45">
        <v>31.32</v>
      </c>
      <c r="T41" s="53" t="s">
        <v>34</v>
      </c>
    </row>
    <row r="42" spans="2:20" ht="15.75" thickBot="1" x14ac:dyDescent="0.3">
      <c r="B42" s="11" t="s">
        <v>4</v>
      </c>
      <c r="C42" s="12"/>
      <c r="D42" s="13" t="s">
        <v>5</v>
      </c>
      <c r="E42" s="14" t="s">
        <v>6</v>
      </c>
      <c r="F42" s="14"/>
      <c r="G42" s="14"/>
      <c r="H42" s="15" t="s">
        <v>7</v>
      </c>
      <c r="I42" s="16" t="s">
        <v>8</v>
      </c>
      <c r="J42" s="17" t="s">
        <v>9</v>
      </c>
      <c r="L42" s="77"/>
      <c r="M42" s="433" t="s">
        <v>52</v>
      </c>
      <c r="N42" s="41">
        <v>30</v>
      </c>
      <c r="O42" s="42">
        <v>1.6950000000000001</v>
      </c>
      <c r="P42" s="43">
        <v>0.36</v>
      </c>
      <c r="Q42" s="43">
        <v>12.55</v>
      </c>
      <c r="R42" s="44">
        <f t="shared" si="6"/>
        <v>60.220000000000006</v>
      </c>
      <c r="S42" s="48"/>
      <c r="T42" s="49" t="s">
        <v>34</v>
      </c>
    </row>
    <row r="43" spans="2:20" ht="15.75" thickBot="1" x14ac:dyDescent="0.3">
      <c r="B43" s="18" t="s">
        <v>10</v>
      </c>
      <c r="C43" s="19" t="s">
        <v>11</v>
      </c>
      <c r="D43" s="20" t="s">
        <v>12</v>
      </c>
      <c r="E43" s="21" t="s">
        <v>13</v>
      </c>
      <c r="F43" s="21" t="s">
        <v>14</v>
      </c>
      <c r="G43" s="21" t="s">
        <v>15</v>
      </c>
      <c r="H43" s="22" t="s">
        <v>16</v>
      </c>
      <c r="I43" s="23" t="s">
        <v>17</v>
      </c>
      <c r="J43" s="24" t="s">
        <v>18</v>
      </c>
      <c r="L43" s="161"/>
      <c r="M43" s="236"/>
      <c r="N43" s="62"/>
      <c r="O43" s="57"/>
      <c r="P43" s="427"/>
      <c r="Q43" s="58"/>
      <c r="R43" s="59"/>
      <c r="S43" s="48"/>
      <c r="T43" s="165"/>
    </row>
    <row r="44" spans="2:20" ht="15.75" thickBot="1" x14ac:dyDescent="0.3">
      <c r="B44" s="402"/>
      <c r="C44" s="26"/>
      <c r="D44" s="381"/>
      <c r="E44" s="28" t="s">
        <v>19</v>
      </c>
      <c r="F44" s="28" t="s">
        <v>20</v>
      </c>
      <c r="G44" s="28" t="s">
        <v>21</v>
      </c>
      <c r="H44" s="29" t="s">
        <v>22</v>
      </c>
      <c r="I44" s="30" t="s">
        <v>23</v>
      </c>
      <c r="J44" s="31" t="s">
        <v>24</v>
      </c>
      <c r="L44" s="101" t="s">
        <v>53</v>
      </c>
      <c r="M44" s="117"/>
      <c r="N44" s="392"/>
      <c r="O44" s="393">
        <f>SUM(O37:O43)</f>
        <v>23.634999999999998</v>
      </c>
      <c r="P44" s="394">
        <f>SUM(P37:P43)</f>
        <v>26.553000000000001</v>
      </c>
      <c r="Q44" s="394">
        <f>SUM(Q37:Q43)</f>
        <v>100.74400000000001</v>
      </c>
      <c r="R44" s="478">
        <f>SUM(R37:R43)</f>
        <v>736.49300000000005</v>
      </c>
      <c r="S44" s="107" t="s">
        <v>40</v>
      </c>
      <c r="T44" s="76"/>
    </row>
    <row r="45" spans="2:20" ht="15.75" thickBot="1" x14ac:dyDescent="0.3">
      <c r="B45" s="200" t="s">
        <v>26</v>
      </c>
      <c r="C45" s="422" t="s">
        <v>225</v>
      </c>
      <c r="D45" s="262" t="s">
        <v>226</v>
      </c>
      <c r="E45" s="423">
        <v>21.023</v>
      </c>
      <c r="F45" s="264">
        <v>16.170000000000002</v>
      </c>
      <c r="G45" s="423">
        <v>42</v>
      </c>
      <c r="H45" s="265">
        <f t="shared" ref="H45" si="7">G45*4+F45*9+E45*4</f>
        <v>397.62200000000001</v>
      </c>
      <c r="I45" s="123">
        <v>19</v>
      </c>
      <c r="J45" s="424" t="s">
        <v>227</v>
      </c>
      <c r="L45" s="396" t="s">
        <v>56</v>
      </c>
      <c r="M45" s="316"/>
      <c r="N45" s="397"/>
      <c r="O45" s="398">
        <v>26.95</v>
      </c>
      <c r="P45" s="399">
        <v>27.65</v>
      </c>
      <c r="Q45" s="399">
        <v>117.25</v>
      </c>
      <c r="R45" s="400">
        <v>822.5</v>
      </c>
      <c r="S45" s="401" t="s">
        <v>55</v>
      </c>
      <c r="T45" s="83">
        <f>N37+N38+N40+N41+N42+N43+53+132</f>
        <v>715</v>
      </c>
    </row>
    <row r="46" spans="2:20" ht="15.75" thickBot="1" x14ac:dyDescent="0.3">
      <c r="B46" s="47" t="s">
        <v>29</v>
      </c>
      <c r="C46" s="136" t="s">
        <v>228</v>
      </c>
      <c r="D46" s="292"/>
      <c r="E46" s="156"/>
      <c r="F46" s="96"/>
      <c r="G46" s="97"/>
      <c r="H46" s="150"/>
      <c r="I46" s="425"/>
      <c r="J46" s="100"/>
      <c r="N46" s="3"/>
      <c r="O46" s="3"/>
      <c r="P46" s="3"/>
      <c r="Q46" s="3"/>
      <c r="R46" s="3"/>
      <c r="S46" s="3"/>
      <c r="T46" s="3"/>
    </row>
    <row r="47" spans="2:20" ht="16.5" thickBot="1" x14ac:dyDescent="0.3">
      <c r="B47" s="50" t="s">
        <v>32</v>
      </c>
      <c r="C47" s="90" t="s">
        <v>30</v>
      </c>
      <c r="D47" s="41">
        <v>200</v>
      </c>
      <c r="E47" s="149">
        <v>4.5</v>
      </c>
      <c r="F47" s="96">
        <v>3.7</v>
      </c>
      <c r="G47" s="96">
        <v>19.600000000000001</v>
      </c>
      <c r="H47" s="150">
        <f t="shared" ref="H47:H50" si="8">G47*4+F47*9+E47*4</f>
        <v>129.70000000000002</v>
      </c>
      <c r="I47" s="151">
        <v>28</v>
      </c>
      <c r="J47" s="53" t="s">
        <v>31</v>
      </c>
      <c r="L47" s="11" t="s">
        <v>4</v>
      </c>
      <c r="M47" s="12"/>
      <c r="N47" s="13" t="s">
        <v>5</v>
      </c>
      <c r="O47" s="14" t="s">
        <v>6</v>
      </c>
      <c r="P47" s="14"/>
      <c r="Q47" s="14"/>
      <c r="R47" s="15" t="s">
        <v>7</v>
      </c>
      <c r="S47" s="16" t="s">
        <v>8</v>
      </c>
      <c r="T47" s="17" t="s">
        <v>9</v>
      </c>
    </row>
    <row r="48" spans="2:20" x14ac:dyDescent="0.25">
      <c r="B48" s="54" t="s">
        <v>229</v>
      </c>
      <c r="C48" s="90" t="s">
        <v>111</v>
      </c>
      <c r="D48" s="41">
        <v>25</v>
      </c>
      <c r="E48" s="158">
        <v>5.4</v>
      </c>
      <c r="F48" s="43">
        <v>4.32</v>
      </c>
      <c r="G48" s="43">
        <v>0</v>
      </c>
      <c r="H48" s="159">
        <f t="shared" si="8"/>
        <v>60.480000000000004</v>
      </c>
      <c r="I48" s="151">
        <v>20</v>
      </c>
      <c r="J48" s="234" t="s">
        <v>112</v>
      </c>
      <c r="L48" s="18" t="s">
        <v>10</v>
      </c>
      <c r="M48" s="19" t="s">
        <v>11</v>
      </c>
      <c r="N48" s="20" t="s">
        <v>12</v>
      </c>
      <c r="O48" s="21" t="s">
        <v>13</v>
      </c>
      <c r="P48" s="21" t="s">
        <v>14</v>
      </c>
      <c r="Q48" s="21" t="s">
        <v>15</v>
      </c>
      <c r="R48" s="22" t="s">
        <v>16</v>
      </c>
      <c r="S48" s="23" t="s">
        <v>17</v>
      </c>
      <c r="T48" s="24" t="s">
        <v>18</v>
      </c>
    </row>
    <row r="49" spans="2:20" ht="15.75" thickBot="1" x14ac:dyDescent="0.3">
      <c r="B49" s="77"/>
      <c r="C49" s="90" t="s">
        <v>33</v>
      </c>
      <c r="D49" s="419">
        <v>30</v>
      </c>
      <c r="E49" s="384">
        <v>1.575</v>
      </c>
      <c r="F49" s="385">
        <v>0.21299999999999999</v>
      </c>
      <c r="G49" s="385">
        <v>12.538</v>
      </c>
      <c r="H49" s="426">
        <f t="shared" si="8"/>
        <v>58.369</v>
      </c>
      <c r="I49" s="151">
        <v>22</v>
      </c>
      <c r="J49" s="53" t="s">
        <v>34</v>
      </c>
      <c r="L49" s="25"/>
      <c r="M49" s="26"/>
      <c r="N49" s="381"/>
      <c r="O49" s="28" t="s">
        <v>19</v>
      </c>
      <c r="P49" s="28" t="s">
        <v>20</v>
      </c>
      <c r="Q49" s="28" t="s">
        <v>21</v>
      </c>
      <c r="R49" s="29" t="s">
        <v>22</v>
      </c>
      <c r="S49" s="30" t="s">
        <v>23</v>
      </c>
      <c r="T49" s="31" t="s">
        <v>24</v>
      </c>
    </row>
    <row r="50" spans="2:20" ht="15.75" thickBot="1" x14ac:dyDescent="0.3">
      <c r="B50" s="161"/>
      <c r="C50" s="236" t="s">
        <v>37</v>
      </c>
      <c r="D50" s="62">
        <v>150</v>
      </c>
      <c r="E50" s="57">
        <v>0.6</v>
      </c>
      <c r="F50" s="427">
        <v>0.6</v>
      </c>
      <c r="G50" s="58">
        <v>14.7</v>
      </c>
      <c r="H50" s="140">
        <f t="shared" si="8"/>
        <v>66.600000000000009</v>
      </c>
      <c r="I50" s="164">
        <v>24</v>
      </c>
      <c r="J50" s="49" t="s">
        <v>230</v>
      </c>
      <c r="L50" s="200" t="s">
        <v>26</v>
      </c>
      <c r="M50" s="484" t="s">
        <v>72</v>
      </c>
      <c r="N50" s="33">
        <v>225</v>
      </c>
      <c r="O50" s="485">
        <v>5.1079999999999997</v>
      </c>
      <c r="P50" s="486">
        <v>5.3079999999999998</v>
      </c>
      <c r="Q50" s="486">
        <v>22.83</v>
      </c>
      <c r="R50" s="140">
        <f>Q50*4+P50*9+O50*4</f>
        <v>159.52399999999997</v>
      </c>
      <c r="S50" s="230">
        <v>4</v>
      </c>
      <c r="T50" s="387" t="s">
        <v>73</v>
      </c>
    </row>
    <row r="51" spans="2:20" ht="15.75" thickBot="1" x14ac:dyDescent="0.3">
      <c r="B51" s="391" t="s">
        <v>39</v>
      </c>
      <c r="C51" s="102"/>
      <c r="D51" s="109"/>
      <c r="E51" s="428">
        <f>SUM(E45:E50)</f>
        <v>33.098000000000006</v>
      </c>
      <c r="F51" s="429">
        <f>SUM(F45:F50)</f>
        <v>25.003000000000004</v>
      </c>
      <c r="G51" s="429">
        <f>SUM(G45:G50)</f>
        <v>88.838000000000008</v>
      </c>
      <c r="H51" s="430">
        <f>SUM(H45:H50)</f>
        <v>712.77100000000007</v>
      </c>
      <c r="I51" s="395" t="s">
        <v>40</v>
      </c>
      <c r="J51" s="76"/>
      <c r="L51" s="47" t="s">
        <v>29</v>
      </c>
      <c r="M51" s="181" t="s">
        <v>225</v>
      </c>
      <c r="N51" s="56" t="s">
        <v>278</v>
      </c>
      <c r="O51" s="182">
        <v>28.030999999999999</v>
      </c>
      <c r="P51" s="58">
        <v>21.56</v>
      </c>
      <c r="Q51" s="182">
        <v>56</v>
      </c>
      <c r="R51" s="140">
        <f t="shared" ref="R51" si="9">Q51*4+P51*9+O51*4</f>
        <v>530.16399999999999</v>
      </c>
      <c r="S51" s="129">
        <v>28</v>
      </c>
      <c r="T51" s="49" t="s">
        <v>227</v>
      </c>
    </row>
    <row r="52" spans="2:20" ht="16.5" thickBot="1" x14ac:dyDescent="0.3">
      <c r="B52" s="396" t="s">
        <v>56</v>
      </c>
      <c r="C52" s="116"/>
      <c r="D52" s="117"/>
      <c r="E52" s="398">
        <v>19.25</v>
      </c>
      <c r="F52" s="399">
        <v>19.75</v>
      </c>
      <c r="G52" s="399">
        <v>83.75</v>
      </c>
      <c r="H52" s="400">
        <v>587.5</v>
      </c>
      <c r="I52" s="401" t="s">
        <v>55</v>
      </c>
      <c r="J52" s="83">
        <f>D47+D48+D49+D50+130+20</f>
        <v>555</v>
      </c>
      <c r="L52" s="477" t="s">
        <v>32</v>
      </c>
      <c r="M52" s="136" t="s">
        <v>228</v>
      </c>
      <c r="N52" s="292"/>
      <c r="O52" s="156"/>
      <c r="P52" s="96"/>
      <c r="Q52" s="97"/>
      <c r="R52" s="150"/>
      <c r="S52" s="425"/>
      <c r="T52" s="100"/>
    </row>
    <row r="53" spans="2:20" x14ac:dyDescent="0.25">
      <c r="D53" s="3"/>
      <c r="E53" s="3"/>
      <c r="F53" s="3"/>
      <c r="G53" s="3"/>
      <c r="H53" s="3"/>
      <c r="I53" s="3"/>
      <c r="J53" s="3"/>
      <c r="L53" s="47" t="s">
        <v>87</v>
      </c>
      <c r="M53" s="90" t="s">
        <v>30</v>
      </c>
      <c r="N53" s="41">
        <v>200</v>
      </c>
      <c r="O53" s="149">
        <v>4.5</v>
      </c>
      <c r="P53" s="96">
        <v>3.7</v>
      </c>
      <c r="Q53" s="96">
        <v>19.600000000000001</v>
      </c>
      <c r="R53" s="150">
        <f t="shared" ref="R53:R56" si="10">Q53*4+P53*9+O53*4</f>
        <v>129.70000000000002</v>
      </c>
      <c r="S53" s="151">
        <v>37</v>
      </c>
      <c r="T53" s="53" t="s">
        <v>31</v>
      </c>
    </row>
    <row r="54" spans="2:20" x14ac:dyDescent="0.25">
      <c r="D54" s="3"/>
      <c r="E54" s="3"/>
      <c r="F54" s="3"/>
      <c r="G54" s="3"/>
      <c r="H54" s="3"/>
      <c r="I54" s="3"/>
      <c r="J54" s="3"/>
      <c r="L54" s="77"/>
      <c r="M54" s="90" t="s">
        <v>111</v>
      </c>
      <c r="N54" s="41">
        <v>25</v>
      </c>
      <c r="O54" s="158">
        <v>5.4</v>
      </c>
      <c r="P54" s="43">
        <v>4.32</v>
      </c>
      <c r="Q54" s="43">
        <v>0</v>
      </c>
      <c r="R54" s="159">
        <f t="shared" si="10"/>
        <v>60.480000000000004</v>
      </c>
      <c r="S54" s="151">
        <v>29</v>
      </c>
      <c r="T54" s="234" t="s">
        <v>112</v>
      </c>
    </row>
    <row r="55" spans="2:20" x14ac:dyDescent="0.25">
      <c r="D55" s="3"/>
      <c r="E55" s="3"/>
      <c r="F55" s="3"/>
      <c r="G55" s="3"/>
      <c r="H55" s="3"/>
      <c r="I55" s="3"/>
      <c r="J55" s="3"/>
      <c r="L55" s="77"/>
      <c r="M55" s="51" t="s">
        <v>33</v>
      </c>
      <c r="N55" s="41">
        <v>60</v>
      </c>
      <c r="O55" s="158">
        <v>3.06</v>
      </c>
      <c r="P55" s="43">
        <v>0.51</v>
      </c>
      <c r="Q55" s="43">
        <v>30.09</v>
      </c>
      <c r="R55" s="159">
        <f t="shared" si="10"/>
        <v>137.19</v>
      </c>
      <c r="S55" s="151">
        <v>31</v>
      </c>
      <c r="T55" s="53" t="s">
        <v>34</v>
      </c>
    </row>
    <row r="56" spans="2:20" ht="15.75" thickBot="1" x14ac:dyDescent="0.3">
      <c r="D56" s="3"/>
      <c r="E56" s="3"/>
      <c r="F56" s="3"/>
      <c r="G56" s="3"/>
      <c r="H56" s="3"/>
      <c r="I56" s="3"/>
      <c r="J56" s="3"/>
      <c r="L56" s="161"/>
      <c r="M56" s="51" t="s">
        <v>52</v>
      </c>
      <c r="N56" s="62">
        <v>30</v>
      </c>
      <c r="O56" s="158">
        <v>1.6950000000000001</v>
      </c>
      <c r="P56" s="43">
        <v>0.36</v>
      </c>
      <c r="Q56" s="43">
        <v>12.55</v>
      </c>
      <c r="R56" s="159">
        <f t="shared" si="10"/>
        <v>60.220000000000006</v>
      </c>
      <c r="S56" s="164">
        <v>32</v>
      </c>
      <c r="T56" s="165" t="s">
        <v>34</v>
      </c>
    </row>
    <row r="57" spans="2:20" ht="15.75" thickBot="1" x14ac:dyDescent="0.3">
      <c r="B57" s="1"/>
      <c r="C57" s="1" t="s">
        <v>231</v>
      </c>
      <c r="D57" s="3"/>
      <c r="E57" s="3"/>
      <c r="F57" s="3"/>
      <c r="G57" s="3"/>
      <c r="H57" s="3"/>
      <c r="I57" s="3"/>
      <c r="J57" s="5">
        <v>0.25</v>
      </c>
      <c r="L57" s="101" t="s">
        <v>53</v>
      </c>
      <c r="M57" s="117"/>
      <c r="N57" s="109"/>
      <c r="O57" s="428">
        <f>SUM(O50:O56)</f>
        <v>47.793999999999997</v>
      </c>
      <c r="P57" s="429">
        <f>SUM(P50:P56)</f>
        <v>35.757999999999996</v>
      </c>
      <c r="Q57" s="429">
        <f>SUM(Q50:Q56)</f>
        <v>141.07000000000002</v>
      </c>
      <c r="R57" s="487">
        <f>SUM(R50:R56)</f>
        <v>1077.278</v>
      </c>
      <c r="S57" s="107" t="s">
        <v>40</v>
      </c>
      <c r="T57" s="76"/>
    </row>
    <row r="58" spans="2:20" ht="16.5" thickBot="1" x14ac:dyDescent="0.3">
      <c r="D58" s="371" t="s">
        <v>214</v>
      </c>
      <c r="E58" s="3"/>
      <c r="F58" s="3"/>
      <c r="G58" s="3"/>
      <c r="H58" s="3"/>
      <c r="I58" s="3"/>
      <c r="J58" s="3"/>
      <c r="L58" s="396" t="s">
        <v>56</v>
      </c>
      <c r="M58" s="316"/>
      <c r="N58" s="117"/>
      <c r="O58" s="398">
        <v>26.95</v>
      </c>
      <c r="P58" s="399">
        <v>27.65</v>
      </c>
      <c r="Q58" s="399">
        <v>117.25</v>
      </c>
      <c r="R58" s="400">
        <v>822.5</v>
      </c>
      <c r="S58" s="401" t="s">
        <v>55</v>
      </c>
      <c r="T58" s="83">
        <f>N50+N53+N54+N55+N56+200</f>
        <v>740</v>
      </c>
    </row>
    <row r="59" spans="2:20" ht="15.75" thickBot="1" x14ac:dyDescent="0.3">
      <c r="B59" s="4" t="s">
        <v>215</v>
      </c>
      <c r="D59" s="3"/>
      <c r="E59" s="3"/>
      <c r="F59" s="3"/>
      <c r="G59" s="372" t="s">
        <v>2</v>
      </c>
      <c r="H59" s="4" t="s">
        <v>216</v>
      </c>
      <c r="I59" s="4"/>
      <c r="J59" s="4"/>
      <c r="N59" s="3"/>
      <c r="O59" s="3"/>
      <c r="P59" s="3"/>
      <c r="Q59" s="3"/>
      <c r="R59" s="3"/>
      <c r="S59" s="3"/>
      <c r="T59" s="3"/>
    </row>
    <row r="60" spans="2:20" ht="15.75" thickBot="1" x14ac:dyDescent="0.3">
      <c r="B60" s="11" t="s">
        <v>4</v>
      </c>
      <c r="C60" s="12"/>
      <c r="D60" s="13" t="s">
        <v>5</v>
      </c>
      <c r="E60" s="14" t="s">
        <v>6</v>
      </c>
      <c r="F60" s="14"/>
      <c r="G60" s="14"/>
      <c r="H60" s="15" t="s">
        <v>7</v>
      </c>
      <c r="I60" s="16" t="s">
        <v>8</v>
      </c>
      <c r="J60" s="17" t="s">
        <v>9</v>
      </c>
      <c r="M60" s="370"/>
      <c r="N60" s="3"/>
      <c r="Q60" s="3"/>
      <c r="S60" s="5"/>
    </row>
    <row r="61" spans="2:20" x14ac:dyDescent="0.25">
      <c r="B61" s="18" t="s">
        <v>10</v>
      </c>
      <c r="C61" s="19" t="s">
        <v>11</v>
      </c>
      <c r="D61" s="20" t="s">
        <v>12</v>
      </c>
      <c r="E61" s="21" t="s">
        <v>13</v>
      </c>
      <c r="F61" s="21" t="s">
        <v>14</v>
      </c>
      <c r="G61" s="21" t="s">
        <v>15</v>
      </c>
      <c r="H61" s="22" t="s">
        <v>16</v>
      </c>
      <c r="I61" s="23" t="s">
        <v>17</v>
      </c>
      <c r="J61" s="24" t="s">
        <v>18</v>
      </c>
      <c r="M61" s="224" t="s">
        <v>265</v>
      </c>
      <c r="Q61" s="3"/>
      <c r="S61" s="3"/>
      <c r="T61" s="5">
        <v>0.35</v>
      </c>
    </row>
    <row r="62" spans="2:20" ht="15.75" thickBot="1" x14ac:dyDescent="0.3">
      <c r="B62" s="402"/>
      <c r="C62" s="26"/>
      <c r="D62" s="381"/>
      <c r="E62" s="28" t="s">
        <v>19</v>
      </c>
      <c r="F62" s="28" t="s">
        <v>20</v>
      </c>
      <c r="G62" s="28" t="s">
        <v>21</v>
      </c>
      <c r="H62" s="29" t="s">
        <v>22</v>
      </c>
      <c r="I62" s="30" t="s">
        <v>23</v>
      </c>
      <c r="J62" s="31" t="s">
        <v>24</v>
      </c>
      <c r="M62" s="2" t="s">
        <v>266</v>
      </c>
      <c r="N62" s="3"/>
      <c r="Q62" s="2"/>
      <c r="R62" s="2"/>
      <c r="S62" s="4"/>
      <c r="T62" s="4"/>
    </row>
    <row r="63" spans="2:20" ht="15.75" x14ac:dyDescent="0.25">
      <c r="B63" s="200" t="s">
        <v>26</v>
      </c>
      <c r="C63" s="186" t="s">
        <v>232</v>
      </c>
      <c r="D63" s="431" t="s">
        <v>233</v>
      </c>
      <c r="E63" s="187">
        <v>9.2230000000000008</v>
      </c>
      <c r="F63" s="92">
        <v>12.048</v>
      </c>
      <c r="G63" s="188">
        <v>11.1</v>
      </c>
      <c r="H63" s="44">
        <f t="shared" ref="H63:H68" si="11">G63*4+F63*9+E63*4</f>
        <v>189.72399999999999</v>
      </c>
      <c r="I63" s="432">
        <v>10</v>
      </c>
      <c r="J63" s="387" t="s">
        <v>105</v>
      </c>
      <c r="L63" s="9" t="s">
        <v>215</v>
      </c>
      <c r="M63" s="4"/>
      <c r="O63" s="3"/>
      <c r="P63" s="9" t="s">
        <v>2</v>
      </c>
      <c r="Q63" s="3"/>
      <c r="R63" s="10" t="s">
        <v>267</v>
      </c>
      <c r="S63" s="4"/>
      <c r="T63" s="4"/>
    </row>
    <row r="64" spans="2:20" ht="21.75" thickBot="1" x14ac:dyDescent="0.4">
      <c r="B64" s="47" t="s">
        <v>29</v>
      </c>
      <c r="C64" s="433" t="s">
        <v>234</v>
      </c>
      <c r="D64" s="41">
        <v>40</v>
      </c>
      <c r="E64" s="434">
        <v>5.08</v>
      </c>
      <c r="F64" s="176">
        <v>4.5999999999999996</v>
      </c>
      <c r="G64" s="290">
        <v>0.28000000000000003</v>
      </c>
      <c r="H64" s="44">
        <f t="shared" si="11"/>
        <v>62.839999999999996</v>
      </c>
      <c r="I64" s="435">
        <v>18</v>
      </c>
      <c r="J64" s="53" t="s">
        <v>235</v>
      </c>
      <c r="N64" s="373" t="s">
        <v>1</v>
      </c>
      <c r="O64" s="3"/>
      <c r="P64" s="3"/>
      <c r="Q64" s="3"/>
      <c r="R64" s="2"/>
      <c r="S64" s="4"/>
      <c r="T64" s="4"/>
    </row>
    <row r="65" spans="2:20" ht="16.5" thickBot="1" x14ac:dyDescent="0.3">
      <c r="B65" s="50" t="s">
        <v>32</v>
      </c>
      <c r="C65" s="433" t="s">
        <v>60</v>
      </c>
      <c r="D65" s="89">
        <v>200</v>
      </c>
      <c r="E65" s="158">
        <v>7.0000000000000007E-2</v>
      </c>
      <c r="F65" s="43">
        <v>0.02</v>
      </c>
      <c r="G65" s="43">
        <v>15</v>
      </c>
      <c r="H65" s="44">
        <f t="shared" si="11"/>
        <v>60.46</v>
      </c>
      <c r="I65" s="151">
        <v>30</v>
      </c>
      <c r="J65" s="53" t="s">
        <v>61</v>
      </c>
      <c r="L65" s="11" t="s">
        <v>4</v>
      </c>
      <c r="M65" s="12"/>
      <c r="N65" s="13" t="s">
        <v>5</v>
      </c>
      <c r="O65" s="14" t="s">
        <v>6</v>
      </c>
      <c r="P65" s="14"/>
      <c r="Q65" s="14"/>
      <c r="R65" s="15" t="s">
        <v>7</v>
      </c>
      <c r="S65" s="16" t="s">
        <v>8</v>
      </c>
      <c r="T65" s="17" t="s">
        <v>9</v>
      </c>
    </row>
    <row r="66" spans="2:20" x14ac:dyDescent="0.25">
      <c r="B66" s="54" t="s">
        <v>236</v>
      </c>
      <c r="C66" s="90" t="s">
        <v>33</v>
      </c>
      <c r="D66" s="41">
        <v>30</v>
      </c>
      <c r="E66" s="384">
        <v>1.575</v>
      </c>
      <c r="F66" s="385">
        <v>0.21299999999999999</v>
      </c>
      <c r="G66" s="385">
        <v>12.538</v>
      </c>
      <c r="H66" s="386">
        <f t="shared" si="11"/>
        <v>58.369</v>
      </c>
      <c r="I66" s="45">
        <v>22</v>
      </c>
      <c r="J66" s="53" t="s">
        <v>34</v>
      </c>
      <c r="L66" s="18" t="s">
        <v>10</v>
      </c>
      <c r="M66" s="19" t="s">
        <v>11</v>
      </c>
      <c r="N66" s="20" t="s">
        <v>12</v>
      </c>
      <c r="O66" s="21" t="s">
        <v>13</v>
      </c>
      <c r="P66" s="21" t="s">
        <v>14</v>
      </c>
      <c r="Q66" s="21" t="s">
        <v>15</v>
      </c>
      <c r="R66" s="22" t="s">
        <v>16</v>
      </c>
      <c r="S66" s="23" t="s">
        <v>17</v>
      </c>
      <c r="T66" s="24" t="s">
        <v>18</v>
      </c>
    </row>
    <row r="67" spans="2:20" ht="15.75" thickBot="1" x14ac:dyDescent="0.3">
      <c r="B67" s="77"/>
      <c r="C67" s="90" t="s">
        <v>36</v>
      </c>
      <c r="D67" s="41">
        <v>20</v>
      </c>
      <c r="E67" s="384">
        <v>1.1299999999999999</v>
      </c>
      <c r="F67" s="385">
        <v>0.24</v>
      </c>
      <c r="G67" s="385">
        <v>8.3699999999999992</v>
      </c>
      <c r="H67" s="386">
        <f t="shared" si="11"/>
        <v>40.159999999999997</v>
      </c>
      <c r="I67" s="48">
        <v>23</v>
      </c>
      <c r="J67" s="53" t="s">
        <v>34</v>
      </c>
      <c r="L67" s="25"/>
      <c r="M67" s="26"/>
      <c r="N67" s="381"/>
      <c r="O67" s="28" t="s">
        <v>19</v>
      </c>
      <c r="P67" s="28" t="s">
        <v>20</v>
      </c>
      <c r="Q67" s="28" t="s">
        <v>21</v>
      </c>
      <c r="R67" s="29" t="s">
        <v>22</v>
      </c>
      <c r="S67" s="30" t="s">
        <v>23</v>
      </c>
      <c r="T67" s="31" t="s">
        <v>24</v>
      </c>
    </row>
    <row r="68" spans="2:20" ht="15.75" thickBot="1" x14ac:dyDescent="0.3">
      <c r="B68" s="77"/>
      <c r="C68" s="236" t="s">
        <v>37</v>
      </c>
      <c r="D68" s="62">
        <v>150</v>
      </c>
      <c r="E68" s="57">
        <v>0.6</v>
      </c>
      <c r="F68" s="427">
        <v>0.6</v>
      </c>
      <c r="G68" s="58">
        <v>14.7</v>
      </c>
      <c r="H68" s="140">
        <f t="shared" si="11"/>
        <v>66.600000000000009</v>
      </c>
      <c r="I68" s="164">
        <v>24</v>
      </c>
      <c r="J68" s="68" t="s">
        <v>237</v>
      </c>
      <c r="L68" s="200" t="s">
        <v>26</v>
      </c>
      <c r="M68" s="433" t="s">
        <v>102</v>
      </c>
      <c r="N68" s="33">
        <v>200</v>
      </c>
      <c r="O68" s="488">
        <v>7.07</v>
      </c>
      <c r="P68" s="385">
        <v>7.01</v>
      </c>
      <c r="Q68" s="385">
        <v>25.22</v>
      </c>
      <c r="R68" s="44">
        <f>Q68*4+P68*9+O68*4</f>
        <v>192.25</v>
      </c>
      <c r="S68" s="436">
        <v>5</v>
      </c>
      <c r="T68" s="387" t="s">
        <v>279</v>
      </c>
    </row>
    <row r="69" spans="2:20" ht="15.75" thickBot="1" x14ac:dyDescent="0.3">
      <c r="B69" s="391" t="s">
        <v>39</v>
      </c>
      <c r="C69" s="102"/>
      <c r="D69" s="103"/>
      <c r="E69" s="428">
        <f>SUM(E63:E68)</f>
        <v>17.678000000000001</v>
      </c>
      <c r="F69" s="179">
        <f>SUM(F63:F68)</f>
        <v>17.721</v>
      </c>
      <c r="G69" s="429">
        <f>SUM(G63:G68)</f>
        <v>61.988</v>
      </c>
      <c r="H69" s="430">
        <f>SUM(H63:H68)</f>
        <v>478.15300000000002</v>
      </c>
      <c r="I69" s="395" t="s">
        <v>40</v>
      </c>
      <c r="J69" s="76"/>
      <c r="L69" s="47" t="s">
        <v>29</v>
      </c>
      <c r="M69" s="433" t="s">
        <v>232</v>
      </c>
      <c r="N69" s="89" t="s">
        <v>280</v>
      </c>
      <c r="O69" s="452">
        <v>8.0920000000000005</v>
      </c>
      <c r="P69" s="489">
        <v>10.098000000000001</v>
      </c>
      <c r="Q69" s="438">
        <v>11.625</v>
      </c>
      <c r="R69" s="44">
        <f t="shared" ref="R69" si="12">Q69*4+P69*9+O69*4</f>
        <v>169.75</v>
      </c>
      <c r="S69" s="45">
        <v>19</v>
      </c>
      <c r="T69" s="53" t="s">
        <v>105</v>
      </c>
    </row>
    <row r="70" spans="2:20" ht="16.5" thickBot="1" x14ac:dyDescent="0.3">
      <c r="B70" s="396" t="s">
        <v>56</v>
      </c>
      <c r="C70" s="116"/>
      <c r="D70" s="397"/>
      <c r="E70" s="398">
        <v>19.25</v>
      </c>
      <c r="F70" s="399">
        <v>19.75</v>
      </c>
      <c r="G70" s="399">
        <v>83.75</v>
      </c>
      <c r="H70" s="400">
        <v>587.5</v>
      </c>
      <c r="I70" s="401" t="s">
        <v>55</v>
      </c>
      <c r="J70" s="83">
        <f>D64+D65+D66+D67+D68+31+154</f>
        <v>625</v>
      </c>
      <c r="L70" s="477" t="s">
        <v>32</v>
      </c>
      <c r="M70" s="433" t="s">
        <v>70</v>
      </c>
      <c r="N70" s="41">
        <v>200</v>
      </c>
      <c r="O70" s="42">
        <v>0.66200000000000003</v>
      </c>
      <c r="P70" s="43">
        <v>0.09</v>
      </c>
      <c r="Q70" s="43">
        <v>32.85</v>
      </c>
      <c r="R70" s="44">
        <f>Q70*4+P70*9+O70*4</f>
        <v>134.858</v>
      </c>
      <c r="S70" s="48">
        <v>35</v>
      </c>
      <c r="T70" s="49" t="s">
        <v>281</v>
      </c>
    </row>
    <row r="71" spans="2:20" x14ac:dyDescent="0.25">
      <c r="D71" s="3"/>
      <c r="E71" s="3"/>
      <c r="F71" s="3"/>
      <c r="G71" s="3"/>
      <c r="H71" s="3"/>
      <c r="I71" s="3"/>
      <c r="J71" s="3"/>
      <c r="L71" s="47" t="s">
        <v>101</v>
      </c>
      <c r="M71" s="433" t="s">
        <v>33</v>
      </c>
      <c r="N71" s="41">
        <v>50</v>
      </c>
      <c r="O71" s="42">
        <v>2.5499999999999998</v>
      </c>
      <c r="P71" s="43">
        <v>0.42499999999999999</v>
      </c>
      <c r="Q71" s="43">
        <v>25.074999999999999</v>
      </c>
      <c r="R71" s="44">
        <f t="shared" ref="R71:R73" si="13">Q71*4+P71*9+O71*4</f>
        <v>114.325</v>
      </c>
      <c r="S71" s="45">
        <v>31</v>
      </c>
      <c r="T71" s="53" t="s">
        <v>34</v>
      </c>
    </row>
    <row r="72" spans="2:20" ht="15.75" x14ac:dyDescent="0.25">
      <c r="D72" s="371" t="s">
        <v>238</v>
      </c>
      <c r="E72" s="3"/>
      <c r="F72" s="3"/>
      <c r="G72" s="3"/>
      <c r="H72" s="3"/>
      <c r="I72" s="4"/>
      <c r="J72" s="3"/>
      <c r="L72" s="77"/>
      <c r="M72" s="433" t="s">
        <v>52</v>
      </c>
      <c r="N72" s="41">
        <v>30</v>
      </c>
      <c r="O72" s="42">
        <v>1.6950000000000001</v>
      </c>
      <c r="P72" s="43">
        <v>0.36</v>
      </c>
      <c r="Q72" s="43">
        <v>12.55</v>
      </c>
      <c r="R72" s="44">
        <f t="shared" si="13"/>
        <v>60.220000000000006</v>
      </c>
      <c r="S72" s="48">
        <v>32</v>
      </c>
      <c r="T72" s="49" t="s">
        <v>34</v>
      </c>
    </row>
    <row r="73" spans="2:20" ht="15.75" thickBot="1" x14ac:dyDescent="0.3">
      <c r="D73" s="3"/>
      <c r="E73" s="3"/>
      <c r="F73" s="3"/>
      <c r="G73" s="3"/>
      <c r="H73" s="3"/>
      <c r="I73" s="3"/>
      <c r="J73" s="3"/>
      <c r="L73" s="77"/>
      <c r="M73" s="132" t="s">
        <v>37</v>
      </c>
      <c r="N73" s="62">
        <v>155</v>
      </c>
      <c r="O73" s="57">
        <v>0.62</v>
      </c>
      <c r="P73" s="427">
        <v>0.62</v>
      </c>
      <c r="Q73" s="58">
        <v>15.19</v>
      </c>
      <c r="R73" s="59">
        <f t="shared" si="13"/>
        <v>68.820000000000007</v>
      </c>
      <c r="S73" s="482">
        <v>33</v>
      </c>
      <c r="T73" s="49" t="s">
        <v>230</v>
      </c>
    </row>
    <row r="74" spans="2:20" ht="15.75" thickBot="1" x14ac:dyDescent="0.3">
      <c r="B74" s="11" t="s">
        <v>4</v>
      </c>
      <c r="C74" s="12"/>
      <c r="D74" s="13" t="s">
        <v>5</v>
      </c>
      <c r="E74" s="14" t="s">
        <v>6</v>
      </c>
      <c r="F74" s="14"/>
      <c r="G74" s="14"/>
      <c r="H74" s="15" t="s">
        <v>7</v>
      </c>
      <c r="I74" s="16" t="s">
        <v>8</v>
      </c>
      <c r="J74" s="17" t="s">
        <v>9</v>
      </c>
      <c r="L74" s="101" t="s">
        <v>53</v>
      </c>
      <c r="M74" s="102"/>
      <c r="N74" s="103"/>
      <c r="O74" s="428">
        <f>SUM(O68:O73)</f>
        <v>20.689000000000004</v>
      </c>
      <c r="P74" s="490">
        <f>SUM(P68:P73)</f>
        <v>18.603000000000002</v>
      </c>
      <c r="Q74" s="429">
        <f>SUM(Q68:Q73)</f>
        <v>122.50999999999999</v>
      </c>
      <c r="R74" s="487">
        <f>SUM(R68:R73)</f>
        <v>740.22300000000007</v>
      </c>
      <c r="S74" s="107" t="s">
        <v>40</v>
      </c>
      <c r="T74" s="76"/>
    </row>
    <row r="75" spans="2:20" ht="15.75" thickBot="1" x14ac:dyDescent="0.3">
      <c r="B75" s="18" t="s">
        <v>10</v>
      </c>
      <c r="C75" s="19" t="s">
        <v>11</v>
      </c>
      <c r="D75" s="20" t="s">
        <v>12</v>
      </c>
      <c r="E75" s="21" t="s">
        <v>13</v>
      </c>
      <c r="F75" s="21" t="s">
        <v>14</v>
      </c>
      <c r="G75" s="21" t="s">
        <v>15</v>
      </c>
      <c r="H75" s="22" t="s">
        <v>16</v>
      </c>
      <c r="I75" s="23" t="s">
        <v>17</v>
      </c>
      <c r="J75" s="24" t="s">
        <v>18</v>
      </c>
      <c r="L75" s="396" t="s">
        <v>56</v>
      </c>
      <c r="M75" s="116"/>
      <c r="N75" s="397"/>
      <c r="O75" s="398">
        <v>26.95</v>
      </c>
      <c r="P75" s="399">
        <v>27.65</v>
      </c>
      <c r="Q75" s="399">
        <v>117.25</v>
      </c>
      <c r="R75" s="400">
        <v>822.5</v>
      </c>
      <c r="S75" s="401" t="s">
        <v>55</v>
      </c>
      <c r="T75" s="83">
        <f>N68+N70+N71+N72+N73+45+135</f>
        <v>815</v>
      </c>
    </row>
    <row r="76" spans="2:20" ht="15.75" thickBot="1" x14ac:dyDescent="0.3">
      <c r="B76" s="402"/>
      <c r="C76" s="26"/>
      <c r="D76" s="381"/>
      <c r="E76" s="28" t="s">
        <v>19</v>
      </c>
      <c r="F76" s="28" t="s">
        <v>20</v>
      </c>
      <c r="G76" s="28" t="s">
        <v>21</v>
      </c>
      <c r="H76" s="29" t="s">
        <v>22</v>
      </c>
      <c r="I76" s="30" t="s">
        <v>23</v>
      </c>
      <c r="J76" s="31" t="s">
        <v>24</v>
      </c>
      <c r="N76" s="3"/>
      <c r="O76" s="3"/>
      <c r="P76" s="3"/>
      <c r="Q76" s="3"/>
      <c r="R76" s="3"/>
      <c r="S76" s="3"/>
      <c r="T76" s="3"/>
    </row>
    <row r="77" spans="2:20" ht="21" x14ac:dyDescent="0.35">
      <c r="B77" s="200" t="s">
        <v>26</v>
      </c>
      <c r="C77" s="403" t="s">
        <v>106</v>
      </c>
      <c r="D77" s="241">
        <v>60</v>
      </c>
      <c r="E77" s="42">
        <v>0.48</v>
      </c>
      <c r="F77" s="43">
        <v>0.12</v>
      </c>
      <c r="G77" s="43">
        <v>1.08</v>
      </c>
      <c r="H77" s="44">
        <f t="shared" ref="H77" si="14">G77*4+F77*9+E77*4</f>
        <v>7.32</v>
      </c>
      <c r="I77" s="436">
        <v>8</v>
      </c>
      <c r="J77" s="416" t="s">
        <v>107</v>
      </c>
      <c r="N77" s="373" t="s">
        <v>282</v>
      </c>
      <c r="O77" s="3"/>
      <c r="P77" s="3"/>
      <c r="Q77" s="3"/>
      <c r="R77" s="3"/>
      <c r="S77" s="3"/>
      <c r="T77" s="3"/>
    </row>
    <row r="78" spans="2:20" ht="15.75" thickBot="1" x14ac:dyDescent="0.3">
      <c r="B78" s="47" t="s">
        <v>110</v>
      </c>
      <c r="C78" s="169" t="s">
        <v>118</v>
      </c>
      <c r="D78" s="241">
        <v>180</v>
      </c>
      <c r="E78" s="437">
        <v>12.89</v>
      </c>
      <c r="F78" s="438">
        <v>19.52</v>
      </c>
      <c r="G78" s="438">
        <v>31.6</v>
      </c>
      <c r="H78" s="44">
        <f>G78*4+F78*9+E78*4</f>
        <v>353.64000000000004</v>
      </c>
      <c r="I78" s="45">
        <v>13</v>
      </c>
      <c r="J78" s="53" t="s">
        <v>119</v>
      </c>
      <c r="N78" s="3"/>
      <c r="O78" s="3"/>
      <c r="P78" s="3"/>
      <c r="Q78" s="3"/>
      <c r="R78" s="3"/>
      <c r="S78" s="3"/>
      <c r="T78" s="3"/>
    </row>
    <row r="79" spans="2:20" ht="16.5" thickBot="1" x14ac:dyDescent="0.3">
      <c r="B79" s="50" t="s">
        <v>32</v>
      </c>
      <c r="C79" s="169" t="s">
        <v>60</v>
      </c>
      <c r="D79" s="171">
        <v>200</v>
      </c>
      <c r="E79" s="158">
        <v>7.0000000000000007E-2</v>
      </c>
      <c r="F79" s="43">
        <v>0.02</v>
      </c>
      <c r="G79" s="43">
        <v>15</v>
      </c>
      <c r="H79" s="44">
        <f t="shared" ref="H79:H81" si="15">G79*4+F79*9+E79*4</f>
        <v>60.46</v>
      </c>
      <c r="I79" s="45">
        <v>30</v>
      </c>
      <c r="J79" s="53" t="s">
        <v>61</v>
      </c>
      <c r="L79" s="11" t="s">
        <v>4</v>
      </c>
      <c r="M79" s="12"/>
      <c r="N79" s="13" t="s">
        <v>5</v>
      </c>
      <c r="O79" s="14" t="s">
        <v>6</v>
      </c>
      <c r="P79" s="14"/>
      <c r="Q79" s="14"/>
      <c r="R79" s="15" t="s">
        <v>7</v>
      </c>
      <c r="S79" s="16" t="s">
        <v>8</v>
      </c>
      <c r="T79" s="17" t="s">
        <v>9</v>
      </c>
    </row>
    <row r="80" spans="2:20" x14ac:dyDescent="0.25">
      <c r="B80" s="54" t="s">
        <v>239</v>
      </c>
      <c r="C80" s="169" t="s">
        <v>33</v>
      </c>
      <c r="D80" s="390">
        <v>30</v>
      </c>
      <c r="E80" s="384">
        <v>1.575</v>
      </c>
      <c r="F80" s="385">
        <v>0.21299999999999999</v>
      </c>
      <c r="G80" s="385">
        <v>12.538</v>
      </c>
      <c r="H80" s="386">
        <f t="shared" si="15"/>
        <v>58.369</v>
      </c>
      <c r="I80" s="45">
        <v>22</v>
      </c>
      <c r="J80" s="53" t="s">
        <v>34</v>
      </c>
      <c r="L80" s="18" t="s">
        <v>10</v>
      </c>
      <c r="M80" s="19" t="s">
        <v>11</v>
      </c>
      <c r="N80" s="20" t="s">
        <v>12</v>
      </c>
      <c r="O80" s="21" t="s">
        <v>13</v>
      </c>
      <c r="P80" s="21" t="s">
        <v>14</v>
      </c>
      <c r="Q80" s="21" t="s">
        <v>15</v>
      </c>
      <c r="R80" s="22" t="s">
        <v>16</v>
      </c>
      <c r="S80" s="23" t="s">
        <v>17</v>
      </c>
      <c r="T80" s="24" t="s">
        <v>18</v>
      </c>
    </row>
    <row r="81" spans="2:20" ht="15.75" thickBot="1" x14ac:dyDescent="0.3">
      <c r="B81" s="77"/>
      <c r="C81" s="169" t="s">
        <v>52</v>
      </c>
      <c r="D81" s="439">
        <v>30</v>
      </c>
      <c r="E81" s="384">
        <v>1.6950000000000001</v>
      </c>
      <c r="F81" s="385">
        <v>0.36</v>
      </c>
      <c r="G81" s="385">
        <v>15.555</v>
      </c>
      <c r="H81" s="386">
        <f t="shared" si="15"/>
        <v>72.239999999999995</v>
      </c>
      <c r="I81" s="48">
        <v>23</v>
      </c>
      <c r="J81" s="53" t="s">
        <v>34</v>
      </c>
      <c r="L81" s="25"/>
      <c r="M81" s="26"/>
      <c r="N81" s="381"/>
      <c r="O81" s="28" t="s">
        <v>19</v>
      </c>
      <c r="P81" s="28" t="s">
        <v>20</v>
      </c>
      <c r="Q81" s="28" t="s">
        <v>21</v>
      </c>
      <c r="R81" s="29" t="s">
        <v>22</v>
      </c>
      <c r="S81" s="228" t="s">
        <v>23</v>
      </c>
      <c r="T81" s="24" t="s">
        <v>24</v>
      </c>
    </row>
    <row r="82" spans="2:20" ht="15.75" thickBot="1" x14ac:dyDescent="0.3">
      <c r="B82" s="161"/>
      <c r="C82" s="61"/>
      <c r="D82" s="62"/>
      <c r="E82" s="57"/>
      <c r="F82" s="427"/>
      <c r="G82" s="58"/>
      <c r="H82" s="140"/>
      <c r="I82" s="164"/>
      <c r="J82" s="68"/>
      <c r="L82" s="200" t="s">
        <v>26</v>
      </c>
      <c r="M82" s="433" t="s">
        <v>283</v>
      </c>
      <c r="N82" s="33">
        <v>200</v>
      </c>
      <c r="O82" s="42">
        <v>3.89</v>
      </c>
      <c r="P82" s="43">
        <v>7.51</v>
      </c>
      <c r="Q82" s="43">
        <v>14.53</v>
      </c>
      <c r="R82" s="44">
        <f t="shared" ref="R82" si="16">Q82*4+P82*9+O82*4</f>
        <v>141.27000000000001</v>
      </c>
      <c r="S82" s="491">
        <v>6</v>
      </c>
      <c r="T82" s="442" t="s">
        <v>117</v>
      </c>
    </row>
    <row r="83" spans="2:20" ht="15.75" thickBot="1" x14ac:dyDescent="0.3">
      <c r="B83" s="391" t="s">
        <v>39</v>
      </c>
      <c r="C83" s="102"/>
      <c r="D83" s="103"/>
      <c r="E83" s="428">
        <f>SUM(E77:E82)</f>
        <v>16.71</v>
      </c>
      <c r="F83" s="440">
        <f>SUM(F77:F82)</f>
        <v>20.233000000000001</v>
      </c>
      <c r="G83" s="429">
        <f>SUM(G77:G82)</f>
        <v>75.772999999999996</v>
      </c>
      <c r="H83" s="430">
        <f>SUM(H77:H82)</f>
        <v>552.029</v>
      </c>
      <c r="I83" s="395" t="s">
        <v>40</v>
      </c>
      <c r="J83" s="76"/>
      <c r="L83" s="47" t="s">
        <v>110</v>
      </c>
      <c r="M83" s="88" t="s">
        <v>284</v>
      </c>
      <c r="N83" s="148">
        <v>55</v>
      </c>
      <c r="O83" s="42">
        <v>0.44</v>
      </c>
      <c r="P83" s="43">
        <v>0.11</v>
      </c>
      <c r="Q83" s="43">
        <v>0.99</v>
      </c>
      <c r="R83" s="44">
        <f>Q83*4+P83*9+O83*4</f>
        <v>6.71</v>
      </c>
      <c r="S83" s="280">
        <v>26</v>
      </c>
      <c r="T83" s="483" t="s">
        <v>107</v>
      </c>
    </row>
    <row r="84" spans="2:20" ht="16.5" thickBot="1" x14ac:dyDescent="0.3">
      <c r="B84" s="396" t="s">
        <v>56</v>
      </c>
      <c r="C84" s="116"/>
      <c r="D84" s="397"/>
      <c r="E84" s="398">
        <v>19.25</v>
      </c>
      <c r="F84" s="399">
        <v>19.75</v>
      </c>
      <c r="G84" s="399">
        <v>83.75</v>
      </c>
      <c r="H84" s="441">
        <v>587.5</v>
      </c>
      <c r="I84" s="401" t="s">
        <v>55</v>
      </c>
      <c r="J84" s="83">
        <f>D80+D81+D82+D79+D78+D77</f>
        <v>500</v>
      </c>
      <c r="L84" s="477" t="s">
        <v>32</v>
      </c>
      <c r="M84" s="90" t="s">
        <v>118</v>
      </c>
      <c r="N84" s="41" t="s">
        <v>285</v>
      </c>
      <c r="O84" s="454">
        <v>12.536</v>
      </c>
      <c r="P84" s="188">
        <v>18.856000000000002</v>
      </c>
      <c r="Q84" s="188">
        <v>30.722000000000001</v>
      </c>
      <c r="R84" s="44">
        <f t="shared" ref="R84" si="17">Q84*4+P84*9+O84*4</f>
        <v>342.73599999999999</v>
      </c>
      <c r="S84" s="492">
        <v>13</v>
      </c>
      <c r="T84" s="53" t="s">
        <v>119</v>
      </c>
    </row>
    <row r="85" spans="2:20" ht="15.75" thickBot="1" x14ac:dyDescent="0.3">
      <c r="D85" s="3"/>
      <c r="E85" s="3"/>
      <c r="F85" s="3"/>
      <c r="G85" s="3"/>
      <c r="H85" s="3"/>
      <c r="I85" s="3"/>
      <c r="J85" s="3"/>
      <c r="L85" s="47" t="s">
        <v>115</v>
      </c>
      <c r="M85" s="51" t="s">
        <v>286</v>
      </c>
      <c r="N85" s="41">
        <v>200</v>
      </c>
      <c r="O85" s="158">
        <v>1.52</v>
      </c>
      <c r="P85" s="43">
        <v>1.35</v>
      </c>
      <c r="Q85" s="43">
        <v>15.9</v>
      </c>
      <c r="R85" s="159">
        <f>Q85*4+P85*9+O85*4</f>
        <v>81.83</v>
      </c>
      <c r="S85" s="280">
        <v>39</v>
      </c>
      <c r="T85" s="53" t="s">
        <v>287</v>
      </c>
    </row>
    <row r="86" spans="2:20" ht="15.75" thickBot="1" x14ac:dyDescent="0.3">
      <c r="B86" s="11" t="s">
        <v>4</v>
      </c>
      <c r="C86" s="12"/>
      <c r="D86" s="13" t="s">
        <v>5</v>
      </c>
      <c r="E86" s="14" t="s">
        <v>6</v>
      </c>
      <c r="F86" s="14"/>
      <c r="G86" s="14"/>
      <c r="H86" s="15" t="s">
        <v>7</v>
      </c>
      <c r="I86" s="16" t="s">
        <v>8</v>
      </c>
      <c r="J86" s="17" t="s">
        <v>9</v>
      </c>
      <c r="L86" s="77"/>
      <c r="M86" s="433" t="s">
        <v>33</v>
      </c>
      <c r="N86" s="41">
        <v>50</v>
      </c>
      <c r="O86" s="42">
        <v>2.5499999999999998</v>
      </c>
      <c r="P86" s="43">
        <v>0.42499999999999999</v>
      </c>
      <c r="Q86" s="43">
        <v>25.074999999999999</v>
      </c>
      <c r="R86" s="44">
        <f t="shared" ref="R86:R88" si="18">Q86*4+P86*9+O86*4</f>
        <v>114.325</v>
      </c>
      <c r="S86" s="45">
        <v>31</v>
      </c>
      <c r="T86" s="53" t="s">
        <v>34</v>
      </c>
    </row>
    <row r="87" spans="2:20" x14ac:dyDescent="0.25">
      <c r="B87" s="18" t="s">
        <v>10</v>
      </c>
      <c r="C87" s="19" t="s">
        <v>11</v>
      </c>
      <c r="D87" s="20" t="s">
        <v>12</v>
      </c>
      <c r="E87" s="21" t="s">
        <v>13</v>
      </c>
      <c r="F87" s="21" t="s">
        <v>14</v>
      </c>
      <c r="G87" s="21" t="s">
        <v>15</v>
      </c>
      <c r="H87" s="22" t="s">
        <v>16</v>
      </c>
      <c r="I87" s="23" t="s">
        <v>17</v>
      </c>
      <c r="J87" s="24" t="s">
        <v>18</v>
      </c>
      <c r="L87" s="77"/>
      <c r="M87" s="433" t="s">
        <v>52</v>
      </c>
      <c r="N87" s="41">
        <v>30</v>
      </c>
      <c r="O87" s="42">
        <v>1.6950000000000001</v>
      </c>
      <c r="P87" s="43">
        <v>0.36</v>
      </c>
      <c r="Q87" s="43">
        <v>12.55</v>
      </c>
      <c r="R87" s="44">
        <f t="shared" si="18"/>
        <v>60.220000000000006</v>
      </c>
      <c r="S87" s="48">
        <v>32</v>
      </c>
      <c r="T87" s="49" t="s">
        <v>34</v>
      </c>
    </row>
    <row r="88" spans="2:20" ht="15.75" thickBot="1" x14ac:dyDescent="0.3">
      <c r="B88" s="402"/>
      <c r="C88" s="26"/>
      <c r="D88" s="381"/>
      <c r="E88" s="28" t="s">
        <v>19</v>
      </c>
      <c r="F88" s="28" t="s">
        <v>20</v>
      </c>
      <c r="G88" s="28" t="s">
        <v>21</v>
      </c>
      <c r="H88" s="29" t="s">
        <v>22</v>
      </c>
      <c r="I88" s="30" t="s">
        <v>23</v>
      </c>
      <c r="J88" s="31" t="s">
        <v>24</v>
      </c>
      <c r="L88" s="161"/>
      <c r="M88" s="236" t="s">
        <v>37</v>
      </c>
      <c r="N88" s="62">
        <v>155</v>
      </c>
      <c r="O88" s="57">
        <v>0.62</v>
      </c>
      <c r="P88" s="427">
        <v>0.62</v>
      </c>
      <c r="Q88" s="58">
        <v>15.19</v>
      </c>
      <c r="R88" s="59">
        <f t="shared" si="18"/>
        <v>68.820000000000007</v>
      </c>
      <c r="S88" s="48">
        <v>33</v>
      </c>
      <c r="T88" s="49" t="s">
        <v>230</v>
      </c>
    </row>
    <row r="89" spans="2:20" ht="15.75" thickBot="1" x14ac:dyDescent="0.3">
      <c r="B89" s="200" t="s">
        <v>26</v>
      </c>
      <c r="C89" s="403" t="s">
        <v>124</v>
      </c>
      <c r="D89" s="171" t="s">
        <v>178</v>
      </c>
      <c r="E89" s="42">
        <v>9.08</v>
      </c>
      <c r="F89" s="43">
        <v>8.8550000000000004</v>
      </c>
      <c r="G89" s="43">
        <v>12.94</v>
      </c>
      <c r="H89" s="159">
        <f t="shared" ref="H89:H94" si="19">G89*4+F89*9+E89*4</f>
        <v>167.77500000000001</v>
      </c>
      <c r="I89" s="436">
        <v>16</v>
      </c>
      <c r="J89" s="442" t="s">
        <v>126</v>
      </c>
      <c r="L89" s="101" t="s">
        <v>53</v>
      </c>
      <c r="M89" s="102"/>
      <c r="N89" s="109"/>
      <c r="O89" s="428">
        <f>SUM(O82:O88)</f>
        <v>23.251000000000001</v>
      </c>
      <c r="P89" s="429">
        <f>SUM(P82:P88)</f>
        <v>29.231000000000005</v>
      </c>
      <c r="Q89" s="429">
        <f>SUM(Q82:Q88)</f>
        <v>114.95699999999999</v>
      </c>
      <c r="R89" s="487">
        <f>SUM(R82:R88)</f>
        <v>815.91100000000017</v>
      </c>
      <c r="S89" s="107" t="s">
        <v>40</v>
      </c>
      <c r="T89" s="76"/>
    </row>
    <row r="90" spans="2:20" ht="15.75" thickBot="1" x14ac:dyDescent="0.3">
      <c r="B90" s="47" t="s">
        <v>110</v>
      </c>
      <c r="C90" s="443" t="s">
        <v>240</v>
      </c>
      <c r="D90" s="258" t="s">
        <v>241</v>
      </c>
      <c r="E90" s="125">
        <v>2.99</v>
      </c>
      <c r="F90" s="126">
        <v>7.24</v>
      </c>
      <c r="G90" s="127">
        <v>17.715</v>
      </c>
      <c r="H90" s="140">
        <f t="shared" si="19"/>
        <v>147.97999999999999</v>
      </c>
      <c r="I90" s="48">
        <v>5</v>
      </c>
      <c r="J90" s="49" t="s">
        <v>242</v>
      </c>
      <c r="L90" s="396" t="s">
        <v>56</v>
      </c>
      <c r="M90" s="116"/>
      <c r="N90" s="117"/>
      <c r="O90" s="398">
        <v>26.95</v>
      </c>
      <c r="P90" s="399">
        <v>27.65</v>
      </c>
      <c r="Q90" s="399">
        <v>117.25</v>
      </c>
      <c r="R90" s="400">
        <v>822.5</v>
      </c>
      <c r="S90" s="401" t="s">
        <v>55</v>
      </c>
      <c r="T90" s="83">
        <f>N82+N83+N85+N86+N87+N88+55+120</f>
        <v>865</v>
      </c>
    </row>
    <row r="91" spans="2:20" ht="16.5" thickBot="1" x14ac:dyDescent="0.3">
      <c r="B91" s="50" t="s">
        <v>32</v>
      </c>
      <c r="C91" s="259" t="s">
        <v>243</v>
      </c>
      <c r="D91" s="279"/>
      <c r="E91" s="95">
        <v>1.365</v>
      </c>
      <c r="F91" s="96">
        <v>3.5939999999999999</v>
      </c>
      <c r="G91" s="97">
        <v>7.2729999999999997</v>
      </c>
      <c r="H91" s="150">
        <f t="shared" si="19"/>
        <v>66.897999999999996</v>
      </c>
      <c r="I91" s="99"/>
      <c r="J91" s="100"/>
      <c r="N91" s="3"/>
      <c r="O91" s="3"/>
      <c r="P91" s="3"/>
      <c r="Q91" s="3"/>
      <c r="R91" s="3"/>
      <c r="S91" s="3"/>
      <c r="T91" s="3"/>
    </row>
    <row r="92" spans="2:20" ht="15.75" thickBot="1" x14ac:dyDescent="0.3">
      <c r="B92" s="54" t="s">
        <v>244</v>
      </c>
      <c r="C92" s="259" t="s">
        <v>50</v>
      </c>
      <c r="D92" s="439">
        <v>200</v>
      </c>
      <c r="E92" s="42">
        <v>1</v>
      </c>
      <c r="F92" s="43">
        <v>0</v>
      </c>
      <c r="G92" s="43">
        <v>20.92</v>
      </c>
      <c r="H92" s="159">
        <f t="shared" si="19"/>
        <v>87.68</v>
      </c>
      <c r="I92" s="45">
        <v>25</v>
      </c>
      <c r="J92" s="53" t="s">
        <v>51</v>
      </c>
      <c r="L92" s="11" t="s">
        <v>4</v>
      </c>
      <c r="M92" s="12"/>
      <c r="N92" s="13" t="s">
        <v>5</v>
      </c>
      <c r="O92" s="14" t="s">
        <v>6</v>
      </c>
      <c r="P92" s="14"/>
      <c r="Q92" s="14"/>
      <c r="R92" s="15" t="s">
        <v>7</v>
      </c>
      <c r="S92" s="16" t="s">
        <v>8</v>
      </c>
      <c r="T92" s="17" t="s">
        <v>9</v>
      </c>
    </row>
    <row r="93" spans="2:20" x14ac:dyDescent="0.25">
      <c r="B93" s="77"/>
      <c r="C93" s="169" t="s">
        <v>33</v>
      </c>
      <c r="D93" s="241">
        <v>40</v>
      </c>
      <c r="E93" s="384">
        <v>2.04</v>
      </c>
      <c r="F93" s="385">
        <v>0.34</v>
      </c>
      <c r="G93" s="385">
        <v>20.059999999999999</v>
      </c>
      <c r="H93" s="386">
        <f t="shared" si="19"/>
        <v>91.46</v>
      </c>
      <c r="I93" s="45">
        <v>22</v>
      </c>
      <c r="J93" s="53" t="s">
        <v>34</v>
      </c>
      <c r="L93" s="18" t="s">
        <v>10</v>
      </c>
      <c r="M93" s="19" t="s">
        <v>11</v>
      </c>
      <c r="N93" s="20" t="s">
        <v>12</v>
      </c>
      <c r="O93" s="21" t="s">
        <v>13</v>
      </c>
      <c r="P93" s="21" t="s">
        <v>14</v>
      </c>
      <c r="Q93" s="21" t="s">
        <v>15</v>
      </c>
      <c r="R93" s="22" t="s">
        <v>16</v>
      </c>
      <c r="S93" s="23" t="s">
        <v>17</v>
      </c>
      <c r="T93" s="24" t="s">
        <v>18</v>
      </c>
    </row>
    <row r="94" spans="2:20" ht="15.75" thickBot="1" x14ac:dyDescent="0.3">
      <c r="B94" s="161"/>
      <c r="C94" s="61" t="s">
        <v>52</v>
      </c>
      <c r="D94" s="444">
        <v>20</v>
      </c>
      <c r="E94" s="384">
        <v>1.1299999999999999</v>
      </c>
      <c r="F94" s="385">
        <v>0.24</v>
      </c>
      <c r="G94" s="385">
        <v>8.3699999999999992</v>
      </c>
      <c r="H94" s="386">
        <f t="shared" si="19"/>
        <v>40.159999999999997</v>
      </c>
      <c r="I94" s="48">
        <v>23</v>
      </c>
      <c r="J94" s="49" t="s">
        <v>34</v>
      </c>
      <c r="L94" s="25"/>
      <c r="M94" s="26"/>
      <c r="N94" s="381"/>
      <c r="O94" s="28" t="s">
        <v>19</v>
      </c>
      <c r="P94" s="28" t="s">
        <v>20</v>
      </c>
      <c r="Q94" s="28" t="s">
        <v>21</v>
      </c>
      <c r="R94" s="29" t="s">
        <v>22</v>
      </c>
      <c r="S94" s="228" t="s">
        <v>23</v>
      </c>
      <c r="T94" s="24" t="s">
        <v>24</v>
      </c>
    </row>
    <row r="95" spans="2:20" ht="15.75" thickBot="1" x14ac:dyDescent="0.3">
      <c r="B95" s="391" t="s">
        <v>39</v>
      </c>
      <c r="C95" s="102"/>
      <c r="D95" s="103"/>
      <c r="E95" s="445">
        <f>SUM(E89:E94)</f>
        <v>17.605</v>
      </c>
      <c r="F95" s="429">
        <f>SUM(F89:F94)</f>
        <v>20.268999999999998</v>
      </c>
      <c r="G95" s="429">
        <f>SUM(G89:G94)</f>
        <v>87.278000000000006</v>
      </c>
      <c r="H95" s="446">
        <f>SUM(H89:H94)</f>
        <v>601.95299999999997</v>
      </c>
      <c r="I95" s="395" t="s">
        <v>40</v>
      </c>
      <c r="J95" s="76"/>
      <c r="L95" s="200" t="s">
        <v>26</v>
      </c>
      <c r="M95" s="451" t="s">
        <v>122</v>
      </c>
      <c r="N95" s="241">
        <v>200</v>
      </c>
      <c r="O95" s="42">
        <v>4.4059999999999997</v>
      </c>
      <c r="P95" s="43">
        <v>5.0819999999999999</v>
      </c>
      <c r="Q95" s="43">
        <v>12.673999999999999</v>
      </c>
      <c r="R95" s="44">
        <f>Q95*4+P95*9+O95*4</f>
        <v>114.05799999999999</v>
      </c>
      <c r="S95" s="493">
        <v>7</v>
      </c>
      <c r="T95" s="387" t="s">
        <v>123</v>
      </c>
    </row>
    <row r="96" spans="2:20" ht="15.75" thickBot="1" x14ac:dyDescent="0.3">
      <c r="B96" s="396" t="s">
        <v>56</v>
      </c>
      <c r="C96" s="116"/>
      <c r="D96" s="397"/>
      <c r="E96" s="398">
        <v>19.25</v>
      </c>
      <c r="F96" s="399">
        <v>19.75</v>
      </c>
      <c r="G96" s="399">
        <v>83.75</v>
      </c>
      <c r="H96" s="400">
        <v>587.5</v>
      </c>
      <c r="I96" s="401" t="s">
        <v>55</v>
      </c>
      <c r="J96" s="83">
        <f>D94+D93+D92+90+20+135+50</f>
        <v>555</v>
      </c>
      <c r="L96" s="47" t="s">
        <v>110</v>
      </c>
      <c r="M96" s="233" t="s">
        <v>124</v>
      </c>
      <c r="N96" s="171" t="s">
        <v>178</v>
      </c>
      <c r="O96" s="42">
        <v>8.9949999999999992</v>
      </c>
      <c r="P96" s="43">
        <v>9.84</v>
      </c>
      <c r="Q96" s="385">
        <v>12.94</v>
      </c>
      <c r="R96" s="159">
        <f>Q96*4+P96*9+O96*4</f>
        <v>176.29999999999998</v>
      </c>
      <c r="S96" s="257">
        <v>16</v>
      </c>
      <c r="T96" s="46" t="s">
        <v>126</v>
      </c>
    </row>
    <row r="97" spans="2:20" ht="16.5" thickBot="1" x14ac:dyDescent="0.3">
      <c r="D97" s="3"/>
      <c r="E97" s="3"/>
      <c r="F97" s="3"/>
      <c r="G97" s="3"/>
      <c r="H97" s="3"/>
      <c r="I97" s="3"/>
      <c r="J97" s="3"/>
      <c r="L97" s="477" t="s">
        <v>32</v>
      </c>
      <c r="M97" s="494" t="s">
        <v>288</v>
      </c>
      <c r="N97" s="258" t="s">
        <v>289</v>
      </c>
      <c r="O97" s="125">
        <v>3.1</v>
      </c>
      <c r="P97" s="126">
        <v>7.51</v>
      </c>
      <c r="Q97" s="127">
        <v>20.471</v>
      </c>
      <c r="R97" s="140">
        <f>Q97*4+P97*9+O97*4</f>
        <v>161.874</v>
      </c>
      <c r="S97" s="495">
        <v>23</v>
      </c>
      <c r="T97" s="49" t="s">
        <v>93</v>
      </c>
    </row>
    <row r="98" spans="2:20" ht="15.75" thickBot="1" x14ac:dyDescent="0.3">
      <c r="B98" s="11" t="s">
        <v>4</v>
      </c>
      <c r="C98" s="12"/>
      <c r="D98" s="13" t="s">
        <v>5</v>
      </c>
      <c r="E98" s="14" t="s">
        <v>6</v>
      </c>
      <c r="F98" s="14"/>
      <c r="G98" s="14"/>
      <c r="H98" s="15" t="s">
        <v>7</v>
      </c>
      <c r="I98" s="16" t="s">
        <v>8</v>
      </c>
      <c r="J98" s="17" t="s">
        <v>9</v>
      </c>
      <c r="L98" s="47" t="s">
        <v>121</v>
      </c>
      <c r="M98" s="496" t="s">
        <v>94</v>
      </c>
      <c r="N98" s="497"/>
      <c r="O98" s="95">
        <v>1.365</v>
      </c>
      <c r="P98" s="96">
        <v>3.6</v>
      </c>
      <c r="Q98" s="97">
        <v>7.28</v>
      </c>
      <c r="R98" s="150">
        <f>Q98*4+P98*9+O98*4</f>
        <v>66.97999999999999</v>
      </c>
      <c r="S98" s="256"/>
      <c r="T98" s="100" t="s">
        <v>69</v>
      </c>
    </row>
    <row r="99" spans="2:20" x14ac:dyDescent="0.25">
      <c r="B99" s="18" t="s">
        <v>10</v>
      </c>
      <c r="C99" s="19" t="s">
        <v>11</v>
      </c>
      <c r="D99" s="20" t="s">
        <v>12</v>
      </c>
      <c r="E99" s="21" t="s">
        <v>13</v>
      </c>
      <c r="F99" s="21" t="s">
        <v>14</v>
      </c>
      <c r="G99" s="21" t="s">
        <v>15</v>
      </c>
      <c r="H99" s="22" t="s">
        <v>16</v>
      </c>
      <c r="I99" s="23" t="s">
        <v>17</v>
      </c>
      <c r="J99" s="24" t="s">
        <v>18</v>
      </c>
      <c r="L99" s="498"/>
      <c r="M99" s="233" t="s">
        <v>50</v>
      </c>
      <c r="N99" s="444">
        <v>200</v>
      </c>
      <c r="O99" s="42">
        <v>1</v>
      </c>
      <c r="P99" s="43">
        <v>0</v>
      </c>
      <c r="Q99" s="43">
        <v>20.92</v>
      </c>
      <c r="R99" s="159">
        <f>Q99*4+P99*9+O99*4</f>
        <v>87.68</v>
      </c>
      <c r="S99" s="499">
        <v>34</v>
      </c>
      <c r="T99" s="53" t="s">
        <v>51</v>
      </c>
    </row>
    <row r="100" spans="2:20" ht="15.75" thickBot="1" x14ac:dyDescent="0.3">
      <c r="B100" s="402"/>
      <c r="C100" s="26"/>
      <c r="D100" s="381"/>
      <c r="E100" s="28" t="s">
        <v>19</v>
      </c>
      <c r="F100" s="28" t="s">
        <v>20</v>
      </c>
      <c r="G100" s="28" t="s">
        <v>21</v>
      </c>
      <c r="H100" s="29" t="s">
        <v>22</v>
      </c>
      <c r="I100" s="30" t="s">
        <v>23</v>
      </c>
      <c r="J100" s="31" t="s">
        <v>24</v>
      </c>
      <c r="L100" s="498"/>
      <c r="M100" s="233" t="s">
        <v>33</v>
      </c>
      <c r="N100" s="444">
        <v>50</v>
      </c>
      <c r="O100" s="42">
        <v>2.5499999999999998</v>
      </c>
      <c r="P100" s="43">
        <v>0.42499999999999999</v>
      </c>
      <c r="Q100" s="43">
        <v>25.074999999999999</v>
      </c>
      <c r="R100" s="159">
        <f t="shared" ref="R100" si="20">Q100*4+P100*9+O100*4</f>
        <v>114.325</v>
      </c>
      <c r="S100" s="45">
        <v>31</v>
      </c>
      <c r="T100" s="53" t="s">
        <v>34</v>
      </c>
    </row>
    <row r="101" spans="2:20" ht="15.75" thickBot="1" x14ac:dyDescent="0.3">
      <c r="B101" s="200" t="s">
        <v>26</v>
      </c>
      <c r="C101" s="433" t="s">
        <v>245</v>
      </c>
      <c r="D101" s="33" t="s">
        <v>246</v>
      </c>
      <c r="E101" s="384">
        <v>5.0869999999999997</v>
      </c>
      <c r="F101" s="385">
        <v>9.9879999999999995</v>
      </c>
      <c r="G101" s="385">
        <v>9.2680000000000007</v>
      </c>
      <c r="H101" s="386">
        <f t="shared" ref="H101:H107" si="21">G101*4+F101*9+E101*4</f>
        <v>147.31200000000001</v>
      </c>
      <c r="I101" s="37">
        <v>9</v>
      </c>
      <c r="J101" s="447" t="s">
        <v>65</v>
      </c>
      <c r="L101" s="498"/>
      <c r="M101" s="233" t="s">
        <v>52</v>
      </c>
      <c r="N101" s="241">
        <v>30</v>
      </c>
      <c r="O101" s="42">
        <v>1.6950000000000001</v>
      </c>
      <c r="P101" s="43">
        <v>0.36</v>
      </c>
      <c r="Q101" s="43">
        <v>12.55</v>
      </c>
      <c r="R101" s="159">
        <f>Q101*4+P101*9+O101*4</f>
        <v>60.220000000000006</v>
      </c>
      <c r="S101" s="48">
        <v>32</v>
      </c>
      <c r="T101" s="53" t="s">
        <v>34</v>
      </c>
    </row>
    <row r="102" spans="2:20" ht="15.75" thickBot="1" x14ac:dyDescent="0.3">
      <c r="B102" s="47" t="s">
        <v>110</v>
      </c>
      <c r="C102" s="448" t="s">
        <v>247</v>
      </c>
      <c r="D102" s="56" t="s">
        <v>248</v>
      </c>
      <c r="E102" s="125">
        <v>3.42</v>
      </c>
      <c r="F102" s="126">
        <v>4.5949999999999998</v>
      </c>
      <c r="G102" s="127">
        <v>19.62</v>
      </c>
      <c r="H102" s="140">
        <f t="shared" si="21"/>
        <v>133.51500000000001</v>
      </c>
      <c r="I102" s="435">
        <v>6</v>
      </c>
      <c r="J102" s="49" t="s">
        <v>136</v>
      </c>
      <c r="L102" s="391" t="s">
        <v>53</v>
      </c>
      <c r="M102" s="102"/>
      <c r="N102" s="103"/>
      <c r="O102" s="445">
        <f>SUM(O95:O101)</f>
        <v>23.111000000000001</v>
      </c>
      <c r="P102" s="429">
        <f>SUM(P95:P101)</f>
        <v>26.817000000000004</v>
      </c>
      <c r="Q102" s="429">
        <f>SUM(Q95:Q101)</f>
        <v>111.91</v>
      </c>
      <c r="R102" s="500">
        <f>SUM(R95:R101)</f>
        <v>781.43700000000013</v>
      </c>
      <c r="S102" s="107" t="s">
        <v>40</v>
      </c>
      <c r="T102" s="76"/>
    </row>
    <row r="103" spans="2:20" ht="16.5" thickBot="1" x14ac:dyDescent="0.3">
      <c r="B103" s="50" t="s">
        <v>32</v>
      </c>
      <c r="C103" s="88" t="s">
        <v>137</v>
      </c>
      <c r="D103" s="292"/>
      <c r="E103" s="95">
        <v>1.659</v>
      </c>
      <c r="F103" s="96">
        <v>7.1999999999999995E-2</v>
      </c>
      <c r="G103" s="97">
        <v>16.010000000000002</v>
      </c>
      <c r="H103" s="150">
        <f>G103*4+F103*9+E103*4</f>
        <v>71.323999999999998</v>
      </c>
      <c r="I103" s="418"/>
      <c r="J103" s="100" t="s">
        <v>69</v>
      </c>
      <c r="L103" s="396" t="s">
        <v>56</v>
      </c>
      <c r="M103" s="116"/>
      <c r="N103" s="397"/>
      <c r="O103" s="398">
        <v>26.95</v>
      </c>
      <c r="P103" s="399">
        <v>27.65</v>
      </c>
      <c r="Q103" s="399">
        <v>117.25</v>
      </c>
      <c r="R103" s="400">
        <v>822.5</v>
      </c>
      <c r="S103" s="401" t="s">
        <v>55</v>
      </c>
      <c r="T103" s="83">
        <f>N95+N99+N100+N101+90+20+140+50</f>
        <v>780</v>
      </c>
    </row>
    <row r="104" spans="2:20" ht="15.75" thickBot="1" x14ac:dyDescent="0.3">
      <c r="B104" s="54" t="s">
        <v>249</v>
      </c>
      <c r="C104" s="186" t="s">
        <v>250</v>
      </c>
      <c r="D104" s="390">
        <v>200</v>
      </c>
      <c r="E104" s="42">
        <v>0.66200000000000003</v>
      </c>
      <c r="F104" s="43">
        <v>0.09</v>
      </c>
      <c r="G104" s="43">
        <v>31.05</v>
      </c>
      <c r="H104" s="44">
        <f t="shared" ref="H104:H105" si="22">G104*4+F104*9+E104*4</f>
        <v>127.658</v>
      </c>
      <c r="I104" s="418">
        <v>26</v>
      </c>
      <c r="J104" s="53" t="s">
        <v>71</v>
      </c>
      <c r="N104" s="3"/>
      <c r="O104" s="3"/>
      <c r="P104" s="3"/>
      <c r="Q104" s="3"/>
      <c r="R104" s="3"/>
      <c r="S104" s="3"/>
      <c r="T104" s="3"/>
    </row>
    <row r="105" spans="2:20" ht="15.75" thickBot="1" x14ac:dyDescent="0.3">
      <c r="B105" s="77"/>
      <c r="C105" s="90" t="s">
        <v>33</v>
      </c>
      <c r="D105" s="390">
        <v>30</v>
      </c>
      <c r="E105" s="384">
        <v>1.575</v>
      </c>
      <c r="F105" s="385">
        <v>0.21299999999999999</v>
      </c>
      <c r="G105" s="385">
        <v>12.538</v>
      </c>
      <c r="H105" s="386">
        <f t="shared" si="22"/>
        <v>58.369</v>
      </c>
      <c r="I105" s="45">
        <v>22</v>
      </c>
      <c r="J105" s="53" t="s">
        <v>34</v>
      </c>
      <c r="L105" s="11" t="s">
        <v>4</v>
      </c>
      <c r="M105" s="12"/>
      <c r="N105" s="13" t="s">
        <v>5</v>
      </c>
      <c r="O105" s="14" t="s">
        <v>6</v>
      </c>
      <c r="P105" s="14"/>
      <c r="Q105" s="14"/>
      <c r="R105" s="15" t="s">
        <v>7</v>
      </c>
      <c r="S105" s="16" t="s">
        <v>8</v>
      </c>
      <c r="T105" s="17" t="s">
        <v>9</v>
      </c>
    </row>
    <row r="106" spans="2:20" x14ac:dyDescent="0.25">
      <c r="B106" s="77"/>
      <c r="C106" s="181" t="s">
        <v>52</v>
      </c>
      <c r="D106" s="41">
        <v>20</v>
      </c>
      <c r="E106" s="384">
        <v>1.1299999999999999</v>
      </c>
      <c r="F106" s="385">
        <v>0.24</v>
      </c>
      <c r="G106" s="385">
        <v>8.3699999999999992</v>
      </c>
      <c r="H106" s="386">
        <f t="shared" si="21"/>
        <v>40.159999999999997</v>
      </c>
      <c r="I106" s="48">
        <v>23</v>
      </c>
      <c r="J106" s="49" t="s">
        <v>34</v>
      </c>
      <c r="L106" s="18" t="s">
        <v>10</v>
      </c>
      <c r="M106" s="19" t="s">
        <v>11</v>
      </c>
      <c r="N106" s="20" t="s">
        <v>12</v>
      </c>
      <c r="O106" s="21" t="s">
        <v>13</v>
      </c>
      <c r="P106" s="21" t="s">
        <v>14</v>
      </c>
      <c r="Q106" s="21" t="s">
        <v>15</v>
      </c>
      <c r="R106" s="22" t="s">
        <v>16</v>
      </c>
      <c r="S106" s="23" t="s">
        <v>17</v>
      </c>
      <c r="T106" s="24" t="s">
        <v>18</v>
      </c>
    </row>
    <row r="107" spans="2:20" ht="15.75" thickBot="1" x14ac:dyDescent="0.3">
      <c r="B107" s="161"/>
      <c r="C107" s="132" t="s">
        <v>251</v>
      </c>
      <c r="D107" s="62">
        <v>140</v>
      </c>
      <c r="E107" s="57">
        <v>0.56000000000000005</v>
      </c>
      <c r="F107" s="427">
        <v>0.56000000000000005</v>
      </c>
      <c r="G107" s="58">
        <v>13.72</v>
      </c>
      <c r="H107" s="140">
        <f t="shared" si="21"/>
        <v>62.160000000000004</v>
      </c>
      <c r="I107" s="164">
        <v>24</v>
      </c>
      <c r="J107" s="68" t="s">
        <v>237</v>
      </c>
      <c r="L107" s="25"/>
      <c r="M107" s="26"/>
      <c r="N107" s="381"/>
      <c r="O107" s="28" t="s">
        <v>19</v>
      </c>
      <c r="P107" s="28" t="s">
        <v>20</v>
      </c>
      <c r="Q107" s="28" t="s">
        <v>21</v>
      </c>
      <c r="R107" s="29" t="s">
        <v>22</v>
      </c>
      <c r="S107" s="228" t="s">
        <v>23</v>
      </c>
      <c r="T107" s="24" t="s">
        <v>24</v>
      </c>
    </row>
    <row r="108" spans="2:20" ht="15.75" thickBot="1" x14ac:dyDescent="0.3">
      <c r="B108" s="391" t="s">
        <v>39</v>
      </c>
      <c r="C108" s="102"/>
      <c r="D108" s="103"/>
      <c r="E108" s="428">
        <f>SUM(E101:E107)</f>
        <v>14.093000000000002</v>
      </c>
      <c r="F108" s="179">
        <f>SUM(F101:F107)</f>
        <v>15.757999999999997</v>
      </c>
      <c r="G108" s="429">
        <f>SUM(G101:G107)</f>
        <v>110.57600000000001</v>
      </c>
      <c r="H108" s="179">
        <f>SUM(H101:H107)</f>
        <v>640.49799999999993</v>
      </c>
      <c r="I108" s="395" t="s">
        <v>40</v>
      </c>
      <c r="J108" s="76"/>
      <c r="L108" s="200" t="s">
        <v>26</v>
      </c>
      <c r="M108" s="51" t="s">
        <v>290</v>
      </c>
      <c r="N108" s="431">
        <v>200</v>
      </c>
      <c r="O108" s="269">
        <v>4.2060000000000004</v>
      </c>
      <c r="P108" s="270">
        <v>4.97</v>
      </c>
      <c r="Q108" s="269">
        <v>8.4120000000000008</v>
      </c>
      <c r="R108" s="44">
        <f>Q108*4+P108*9+O108*4</f>
        <v>95.201999999999998</v>
      </c>
      <c r="S108" s="501">
        <v>8</v>
      </c>
      <c r="T108" s="387" t="s">
        <v>134</v>
      </c>
    </row>
    <row r="109" spans="2:20" ht="15.75" thickBot="1" x14ac:dyDescent="0.3">
      <c r="B109" s="396" t="s">
        <v>56</v>
      </c>
      <c r="C109" s="116"/>
      <c r="D109" s="397"/>
      <c r="E109" s="398">
        <v>19.25</v>
      </c>
      <c r="F109" s="399">
        <v>19.75</v>
      </c>
      <c r="G109" s="399">
        <v>83.75</v>
      </c>
      <c r="H109" s="400">
        <v>587.5</v>
      </c>
      <c r="I109" s="401" t="s">
        <v>55</v>
      </c>
      <c r="J109" s="83">
        <f>D104+D105+D106+D107+60+30+80+70</f>
        <v>630</v>
      </c>
      <c r="L109" s="47" t="s">
        <v>110</v>
      </c>
      <c r="M109" s="51" t="s">
        <v>245</v>
      </c>
      <c r="N109" s="41" t="s">
        <v>291</v>
      </c>
      <c r="O109" s="42">
        <v>10.43</v>
      </c>
      <c r="P109" s="43">
        <v>11.909000000000001</v>
      </c>
      <c r="Q109" s="43">
        <v>15.52</v>
      </c>
      <c r="R109" s="44">
        <f t="shared" ref="R109:R110" si="23">Q109*4+P109*9+O109*4</f>
        <v>210.98100000000002</v>
      </c>
      <c r="S109" s="502">
        <v>18</v>
      </c>
      <c r="T109" s="53" t="s">
        <v>65</v>
      </c>
    </row>
    <row r="110" spans="2:20" ht="15.75" x14ac:dyDescent="0.25">
      <c r="D110" s="3"/>
      <c r="E110" s="3"/>
      <c r="F110" s="3"/>
      <c r="G110" s="3"/>
      <c r="H110" s="3"/>
      <c r="I110" s="3"/>
      <c r="J110" s="3"/>
      <c r="L110" s="477" t="s">
        <v>32</v>
      </c>
      <c r="M110" s="448" t="s">
        <v>247</v>
      </c>
      <c r="N110" s="56" t="s">
        <v>248</v>
      </c>
      <c r="O110" s="125">
        <v>3.42</v>
      </c>
      <c r="P110" s="126">
        <v>4.9050000000000002</v>
      </c>
      <c r="Q110" s="127">
        <v>23.93</v>
      </c>
      <c r="R110" s="140">
        <f t="shared" si="23"/>
        <v>153.54500000000002</v>
      </c>
      <c r="S110" s="435">
        <v>24</v>
      </c>
      <c r="T110" s="49" t="s">
        <v>136</v>
      </c>
    </row>
    <row r="111" spans="2:20" x14ac:dyDescent="0.25">
      <c r="D111" s="3"/>
      <c r="E111" s="449"/>
      <c r="F111" s="449"/>
      <c r="G111" s="449"/>
      <c r="H111" s="449"/>
      <c r="I111" s="450"/>
      <c r="J111" s="3"/>
      <c r="L111" s="47" t="s">
        <v>132</v>
      </c>
      <c r="M111" s="88" t="s">
        <v>137</v>
      </c>
      <c r="N111" s="292"/>
      <c r="O111" s="95">
        <v>1.659</v>
      </c>
      <c r="P111" s="96">
        <v>0.97</v>
      </c>
      <c r="Q111" s="97">
        <v>16.010000000000002</v>
      </c>
      <c r="R111" s="150">
        <f>Q111*4+P111*9+O111*4</f>
        <v>79.406000000000006</v>
      </c>
      <c r="S111" s="418"/>
      <c r="T111" s="100" t="s">
        <v>69</v>
      </c>
    </row>
    <row r="112" spans="2:20" x14ac:dyDescent="0.25">
      <c r="D112" s="3"/>
      <c r="E112" s="3"/>
      <c r="F112" s="3"/>
      <c r="G112" s="3"/>
      <c r="H112" s="3"/>
      <c r="I112" s="3"/>
      <c r="J112" s="3"/>
      <c r="L112" s="498"/>
      <c r="M112" s="51" t="s">
        <v>50</v>
      </c>
      <c r="N112" s="41">
        <v>200</v>
      </c>
      <c r="O112" s="42">
        <v>1</v>
      </c>
      <c r="P112" s="43">
        <v>0</v>
      </c>
      <c r="Q112" s="43">
        <v>20.92</v>
      </c>
      <c r="R112" s="159">
        <f>Q112*4+P112*9+O112*4</f>
        <v>87.68</v>
      </c>
      <c r="S112" s="503">
        <v>34</v>
      </c>
      <c r="T112" s="53" t="s">
        <v>51</v>
      </c>
    </row>
    <row r="113" spans="2:20" x14ac:dyDescent="0.25">
      <c r="D113" s="3"/>
      <c r="E113" s="3"/>
      <c r="F113" s="3"/>
      <c r="G113" s="3"/>
      <c r="H113" s="3"/>
      <c r="I113" s="3"/>
      <c r="J113" s="3"/>
      <c r="L113" s="77"/>
      <c r="M113" s="51" t="s">
        <v>33</v>
      </c>
      <c r="N113" s="41">
        <v>50</v>
      </c>
      <c r="O113" s="42">
        <v>2.5499999999999998</v>
      </c>
      <c r="P113" s="43">
        <v>0.42499999999999999</v>
      </c>
      <c r="Q113" s="43">
        <v>25.074999999999999</v>
      </c>
      <c r="R113" s="159">
        <f t="shared" ref="R113" si="24">Q113*4+P113*9+O113*4</f>
        <v>114.325</v>
      </c>
      <c r="S113" s="52">
        <v>31</v>
      </c>
      <c r="T113" s="53" t="s">
        <v>34</v>
      </c>
    </row>
    <row r="114" spans="2:20" x14ac:dyDescent="0.25">
      <c r="D114" s="3"/>
      <c r="E114" s="3"/>
      <c r="F114" s="3"/>
      <c r="G114" s="3"/>
      <c r="H114" s="3"/>
      <c r="I114" s="3"/>
      <c r="J114" s="3"/>
      <c r="L114" s="77"/>
      <c r="M114" s="51" t="s">
        <v>52</v>
      </c>
      <c r="N114" s="41">
        <v>30</v>
      </c>
      <c r="O114" s="42">
        <v>1.6950000000000001</v>
      </c>
      <c r="P114" s="43">
        <v>0.36</v>
      </c>
      <c r="Q114" s="43">
        <v>12.55</v>
      </c>
      <c r="R114" s="159">
        <f>Q114*4+P114*9+O114*4</f>
        <v>60.220000000000006</v>
      </c>
      <c r="S114" s="435">
        <v>32</v>
      </c>
      <c r="T114" s="53" t="s">
        <v>34</v>
      </c>
    </row>
    <row r="115" spans="2:20" ht="15.75" thickBot="1" x14ac:dyDescent="0.3">
      <c r="B115" s="1"/>
      <c r="C115" s="1" t="s">
        <v>231</v>
      </c>
      <c r="G115" s="3"/>
      <c r="I115" s="3"/>
      <c r="J115" s="5">
        <v>0.25</v>
      </c>
      <c r="L115" s="161"/>
      <c r="M115" s="236"/>
      <c r="N115" s="62"/>
      <c r="O115" s="57"/>
      <c r="P115" s="427"/>
      <c r="Q115" s="58"/>
      <c r="R115" s="59"/>
      <c r="S115" s="504"/>
      <c r="T115" s="165"/>
    </row>
    <row r="116" spans="2:20" ht="15.75" thickBot="1" x14ac:dyDescent="0.3">
      <c r="B116" s="299" t="s">
        <v>215</v>
      </c>
      <c r="D116" s="3"/>
      <c r="E116" s="3"/>
      <c r="F116" s="3"/>
      <c r="G116" s="3"/>
      <c r="H116" s="248" t="s">
        <v>2</v>
      </c>
      <c r="I116" s="4" t="s">
        <v>252</v>
      </c>
      <c r="J116" s="4"/>
      <c r="L116" s="391" t="s">
        <v>53</v>
      </c>
      <c r="M116" s="102"/>
      <c r="N116" s="109"/>
      <c r="O116" s="428">
        <f>SUM(O108:O115)</f>
        <v>24.959999999999997</v>
      </c>
      <c r="P116" s="179">
        <f>SUM(P108:P115)</f>
        <v>23.539000000000001</v>
      </c>
      <c r="Q116" s="429">
        <f>SUM(Q108:Q115)</f>
        <v>122.417</v>
      </c>
      <c r="R116" s="505">
        <f>SUM(R108:R115)</f>
        <v>801.35900000000015</v>
      </c>
      <c r="S116" s="107" t="s">
        <v>40</v>
      </c>
      <c r="T116" s="76"/>
    </row>
    <row r="117" spans="2:20" ht="15.75" thickBot="1" x14ac:dyDescent="0.3">
      <c r="B117" s="11" t="s">
        <v>4</v>
      </c>
      <c r="C117" s="12"/>
      <c r="D117" s="13" t="s">
        <v>5</v>
      </c>
      <c r="E117" s="14" t="s">
        <v>6</v>
      </c>
      <c r="F117" s="14"/>
      <c r="G117" s="14"/>
      <c r="H117" s="15" t="s">
        <v>7</v>
      </c>
      <c r="I117" s="16" t="s">
        <v>8</v>
      </c>
      <c r="J117" s="17" t="s">
        <v>9</v>
      </c>
      <c r="L117" s="396" t="s">
        <v>56</v>
      </c>
      <c r="M117" s="116"/>
      <c r="N117" s="117"/>
      <c r="O117" s="398">
        <v>26.95</v>
      </c>
      <c r="P117" s="399">
        <v>27.65</v>
      </c>
      <c r="Q117" s="399">
        <v>117.25</v>
      </c>
      <c r="R117" s="400">
        <v>822.5</v>
      </c>
      <c r="S117" s="401" t="s">
        <v>55</v>
      </c>
      <c r="T117" s="83">
        <f>N108+N112+N113+N114+N115+80+20+80+70</f>
        <v>730</v>
      </c>
    </row>
    <row r="118" spans="2:20" x14ac:dyDescent="0.25">
      <c r="B118" s="18" t="s">
        <v>10</v>
      </c>
      <c r="C118" s="19" t="s">
        <v>11</v>
      </c>
      <c r="D118" s="20" t="s">
        <v>12</v>
      </c>
      <c r="E118" s="21" t="s">
        <v>13</v>
      </c>
      <c r="F118" s="21" t="s">
        <v>14</v>
      </c>
      <c r="G118" s="21" t="s">
        <v>15</v>
      </c>
      <c r="H118" s="22" t="s">
        <v>16</v>
      </c>
      <c r="I118" s="23" t="s">
        <v>17</v>
      </c>
      <c r="J118" s="24" t="s">
        <v>18</v>
      </c>
      <c r="M118" s="370"/>
      <c r="N118" s="3"/>
      <c r="S118" s="5"/>
    </row>
    <row r="119" spans="2:20" ht="15.75" thickBot="1" x14ac:dyDescent="0.3">
      <c r="B119" s="402"/>
      <c r="C119" s="26"/>
      <c r="D119" s="381"/>
      <c r="E119" s="28" t="s">
        <v>19</v>
      </c>
      <c r="F119" s="28" t="s">
        <v>20</v>
      </c>
      <c r="G119" s="28" t="s">
        <v>21</v>
      </c>
      <c r="H119" s="29" t="s">
        <v>22</v>
      </c>
      <c r="I119" s="30" t="s">
        <v>23</v>
      </c>
      <c r="J119" s="31" t="s">
        <v>24</v>
      </c>
      <c r="M119" s="224" t="s">
        <v>265</v>
      </c>
      <c r="Q119" s="3"/>
      <c r="S119" s="3"/>
      <c r="T119" s="5">
        <v>0.35</v>
      </c>
    </row>
    <row r="120" spans="2:20" x14ac:dyDescent="0.25">
      <c r="B120" s="200" t="s">
        <v>26</v>
      </c>
      <c r="C120" s="451" t="s">
        <v>253</v>
      </c>
      <c r="D120" s="241">
        <v>200</v>
      </c>
      <c r="E120" s="452">
        <v>4.8499999999999996</v>
      </c>
      <c r="F120" s="438">
        <v>11.51</v>
      </c>
      <c r="G120" s="438">
        <v>29.83</v>
      </c>
      <c r="H120" s="44">
        <f t="shared" ref="H120:H125" si="25">G120*4+F120*9+E120*4</f>
        <v>242.31</v>
      </c>
      <c r="I120" s="436">
        <v>1</v>
      </c>
      <c r="J120" s="442" t="s">
        <v>28</v>
      </c>
      <c r="M120" s="2" t="s">
        <v>266</v>
      </c>
      <c r="N120" s="3"/>
      <c r="Q120" s="2"/>
      <c r="R120" s="2"/>
      <c r="S120" s="4"/>
      <c r="T120" s="4"/>
    </row>
    <row r="121" spans="2:20" ht="15.75" x14ac:dyDescent="0.25">
      <c r="B121" s="47" t="s">
        <v>110</v>
      </c>
      <c r="C121" s="453" t="s">
        <v>234</v>
      </c>
      <c r="D121" s="241">
        <v>40</v>
      </c>
      <c r="E121" s="434">
        <v>5.08</v>
      </c>
      <c r="F121" s="176">
        <v>4.5999999999999996</v>
      </c>
      <c r="G121" s="290">
        <v>0.28000000000000003</v>
      </c>
      <c r="H121" s="44">
        <f t="shared" si="25"/>
        <v>62.839999999999996</v>
      </c>
      <c r="I121" s="45">
        <v>18</v>
      </c>
      <c r="J121" s="53" t="s">
        <v>235</v>
      </c>
      <c r="L121" s="9" t="s">
        <v>215</v>
      </c>
      <c r="M121" s="4"/>
      <c r="O121" s="3"/>
      <c r="P121" s="9" t="s">
        <v>2</v>
      </c>
      <c r="Q121" s="3"/>
      <c r="R121" s="10" t="s">
        <v>267</v>
      </c>
      <c r="S121" s="4"/>
      <c r="T121" s="4"/>
    </row>
    <row r="122" spans="2:20" ht="21.75" thickBot="1" x14ac:dyDescent="0.4">
      <c r="B122" s="50" t="s">
        <v>32</v>
      </c>
      <c r="C122" s="451" t="s">
        <v>74</v>
      </c>
      <c r="D122" s="241">
        <v>200</v>
      </c>
      <c r="E122" s="42">
        <v>3.8</v>
      </c>
      <c r="F122" s="43">
        <v>3</v>
      </c>
      <c r="G122" s="43">
        <v>23</v>
      </c>
      <c r="H122" s="44">
        <f t="shared" si="25"/>
        <v>134.19999999999999</v>
      </c>
      <c r="I122" s="45">
        <v>27</v>
      </c>
      <c r="J122" s="53" t="s">
        <v>254</v>
      </c>
      <c r="N122" s="373" t="s">
        <v>1</v>
      </c>
      <c r="O122" s="3"/>
      <c r="P122" s="3"/>
      <c r="Q122" s="3"/>
      <c r="R122" s="2"/>
      <c r="S122" s="4"/>
      <c r="T122" s="4"/>
    </row>
    <row r="123" spans="2:20" ht="15.75" thickBot="1" x14ac:dyDescent="0.3">
      <c r="B123" s="54" t="s">
        <v>255</v>
      </c>
      <c r="C123" s="451" t="s">
        <v>256</v>
      </c>
      <c r="D123" s="241">
        <v>25</v>
      </c>
      <c r="E123" s="454">
        <v>1.0543</v>
      </c>
      <c r="F123" s="188">
        <v>0.436</v>
      </c>
      <c r="G123" s="188">
        <v>10</v>
      </c>
      <c r="H123" s="44">
        <f t="shared" si="25"/>
        <v>48.141199999999998</v>
      </c>
      <c r="I123" s="151">
        <v>21</v>
      </c>
      <c r="J123" s="53" t="s">
        <v>34</v>
      </c>
      <c r="L123" s="11" t="s">
        <v>4</v>
      </c>
      <c r="M123" s="12"/>
      <c r="N123" s="13" t="s">
        <v>5</v>
      </c>
      <c r="O123" s="14" t="s">
        <v>6</v>
      </c>
      <c r="P123" s="14"/>
      <c r="Q123" s="14"/>
      <c r="R123" s="15" t="s">
        <v>7</v>
      </c>
      <c r="S123" s="16" t="s">
        <v>8</v>
      </c>
      <c r="T123" s="17" t="s">
        <v>9</v>
      </c>
    </row>
    <row r="124" spans="2:20" x14ac:dyDescent="0.25">
      <c r="B124" s="77"/>
      <c r="C124" s="451" t="s">
        <v>33</v>
      </c>
      <c r="D124" s="241">
        <v>40</v>
      </c>
      <c r="E124" s="384">
        <v>2.04</v>
      </c>
      <c r="F124" s="385">
        <v>0.34</v>
      </c>
      <c r="G124" s="385">
        <v>20.059999999999999</v>
      </c>
      <c r="H124" s="386">
        <f t="shared" si="25"/>
        <v>91.46</v>
      </c>
      <c r="I124" s="45">
        <v>22</v>
      </c>
      <c r="J124" s="53" t="s">
        <v>34</v>
      </c>
      <c r="L124" s="18" t="s">
        <v>10</v>
      </c>
      <c r="M124" s="19" t="s">
        <v>11</v>
      </c>
      <c r="N124" s="20" t="s">
        <v>12</v>
      </c>
      <c r="O124" s="21" t="s">
        <v>13</v>
      </c>
      <c r="P124" s="21" t="s">
        <v>14</v>
      </c>
      <c r="Q124" s="21" t="s">
        <v>15</v>
      </c>
      <c r="R124" s="22" t="s">
        <v>16</v>
      </c>
      <c r="S124" s="23" t="s">
        <v>17</v>
      </c>
      <c r="T124" s="24" t="s">
        <v>18</v>
      </c>
    </row>
    <row r="125" spans="2:20" ht="15.75" thickBot="1" x14ac:dyDescent="0.3">
      <c r="B125" s="161"/>
      <c r="C125" s="455" t="s">
        <v>52</v>
      </c>
      <c r="D125" s="444">
        <v>20</v>
      </c>
      <c r="E125" s="384">
        <v>1.1299999999999999</v>
      </c>
      <c r="F125" s="385">
        <v>0.24</v>
      </c>
      <c r="G125" s="385">
        <v>8.3699999999999992</v>
      </c>
      <c r="H125" s="386">
        <f t="shared" si="25"/>
        <v>40.159999999999997</v>
      </c>
      <c r="I125" s="48">
        <v>23</v>
      </c>
      <c r="J125" s="165" t="s">
        <v>34</v>
      </c>
      <c r="L125" s="25"/>
      <c r="M125" s="26"/>
      <c r="N125" s="381"/>
      <c r="O125" s="28" t="s">
        <v>19</v>
      </c>
      <c r="P125" s="28" t="s">
        <v>20</v>
      </c>
      <c r="Q125" s="28" t="s">
        <v>21</v>
      </c>
      <c r="R125" s="29" t="s">
        <v>22</v>
      </c>
      <c r="S125" s="228" t="s">
        <v>23</v>
      </c>
      <c r="T125" s="24" t="s">
        <v>24</v>
      </c>
    </row>
    <row r="126" spans="2:20" ht="15.75" thickBot="1" x14ac:dyDescent="0.3">
      <c r="B126" s="391" t="s">
        <v>39</v>
      </c>
      <c r="C126" s="102"/>
      <c r="D126" s="103"/>
      <c r="E126" s="428">
        <f>SUM(E120:E125)</f>
        <v>17.9543</v>
      </c>
      <c r="F126" s="440">
        <f>SUM(F120:F125)</f>
        <v>20.125999999999998</v>
      </c>
      <c r="G126" s="430">
        <f>SUM(G120:G125)</f>
        <v>91.54</v>
      </c>
      <c r="H126" s="440">
        <f>SUM(H120:H125)</f>
        <v>619.11119999999994</v>
      </c>
      <c r="I126" s="395" t="s">
        <v>40</v>
      </c>
      <c r="J126" s="76"/>
      <c r="L126" s="200" t="s">
        <v>26</v>
      </c>
      <c r="M126" s="88" t="s">
        <v>292</v>
      </c>
      <c r="N126" s="33">
        <v>200</v>
      </c>
      <c r="O126" s="506">
        <v>5.5359999999999996</v>
      </c>
      <c r="P126" s="507">
        <v>4.6840000000000002</v>
      </c>
      <c r="Q126" s="508">
        <v>12.9</v>
      </c>
      <c r="R126" s="159">
        <f>Q126*4+P126*9+O126*4</f>
        <v>115.9</v>
      </c>
      <c r="S126" s="509">
        <v>9</v>
      </c>
      <c r="T126" s="510" t="s">
        <v>142</v>
      </c>
    </row>
    <row r="127" spans="2:20" ht="15.75" thickBot="1" x14ac:dyDescent="0.3">
      <c r="B127" s="396" t="s">
        <v>56</v>
      </c>
      <c r="C127" s="116"/>
      <c r="D127" s="397"/>
      <c r="E127" s="398">
        <v>19.25</v>
      </c>
      <c r="F127" s="399">
        <v>19.75</v>
      </c>
      <c r="G127" s="399">
        <v>83.75</v>
      </c>
      <c r="H127" s="400">
        <v>587.5</v>
      </c>
      <c r="I127" s="401" t="s">
        <v>55</v>
      </c>
      <c r="J127" s="83">
        <f>D120+D121+D122+D123+D124+D125</f>
        <v>525</v>
      </c>
      <c r="L127" s="47" t="s">
        <v>110</v>
      </c>
      <c r="M127" s="90" t="s">
        <v>293</v>
      </c>
      <c r="N127" s="41">
        <v>150</v>
      </c>
      <c r="O127" s="437">
        <v>3.2890000000000001</v>
      </c>
      <c r="P127" s="438">
        <v>10.92</v>
      </c>
      <c r="Q127" s="438">
        <v>40.234000000000002</v>
      </c>
      <c r="R127" s="159">
        <f>Q127*4+P127*9+O127*4</f>
        <v>272.37200000000001</v>
      </c>
      <c r="S127" s="160">
        <v>21</v>
      </c>
      <c r="T127" s="511" t="s">
        <v>294</v>
      </c>
    </row>
    <row r="128" spans="2:20" ht="16.5" thickBot="1" x14ac:dyDescent="0.3">
      <c r="D128" s="3"/>
      <c r="E128" s="3"/>
      <c r="F128" s="3"/>
      <c r="G128" s="3"/>
      <c r="H128" s="3"/>
      <c r="I128" s="3"/>
      <c r="J128" s="3"/>
      <c r="L128" s="477" t="s">
        <v>32</v>
      </c>
      <c r="M128" s="183" t="s">
        <v>219</v>
      </c>
      <c r="N128" s="41">
        <v>100</v>
      </c>
      <c r="O128" s="512">
        <v>10.946</v>
      </c>
      <c r="P128" s="406">
        <v>9.5310000000000006</v>
      </c>
      <c r="Q128" s="407">
        <v>9.2850000000000001</v>
      </c>
      <c r="R128" s="59">
        <f t="shared" ref="R128" si="26">Q128*4+P128*9+O128*4</f>
        <v>166.703</v>
      </c>
      <c r="S128" s="157">
        <v>17</v>
      </c>
      <c r="T128" s="513" t="s">
        <v>221</v>
      </c>
    </row>
    <row r="129" spans="2:20" ht="15.75" thickBot="1" x14ac:dyDescent="0.3">
      <c r="B129" s="11" t="s">
        <v>4</v>
      </c>
      <c r="C129" s="12"/>
      <c r="D129" s="13" t="s">
        <v>5</v>
      </c>
      <c r="E129" s="14" t="s">
        <v>6</v>
      </c>
      <c r="F129" s="14"/>
      <c r="G129" s="14"/>
      <c r="H129" s="15" t="s">
        <v>7</v>
      </c>
      <c r="I129" s="16" t="s">
        <v>8</v>
      </c>
      <c r="J129" s="17" t="s">
        <v>9</v>
      </c>
      <c r="L129" s="47" t="s">
        <v>140</v>
      </c>
      <c r="M129" s="51" t="s">
        <v>74</v>
      </c>
      <c r="N129" s="41">
        <v>200</v>
      </c>
      <c r="O129" s="158">
        <v>3.8</v>
      </c>
      <c r="P129" s="43">
        <v>3</v>
      </c>
      <c r="Q129" s="43">
        <v>23</v>
      </c>
      <c r="R129" s="159">
        <f>Q129*4+P129*9+O129*4</f>
        <v>134.19999999999999</v>
      </c>
      <c r="S129" s="131">
        <v>36</v>
      </c>
      <c r="T129" s="511" t="s">
        <v>75</v>
      </c>
    </row>
    <row r="130" spans="2:20" x14ac:dyDescent="0.25">
      <c r="B130" s="18" t="s">
        <v>10</v>
      </c>
      <c r="C130" s="19" t="s">
        <v>11</v>
      </c>
      <c r="D130" s="20" t="s">
        <v>12</v>
      </c>
      <c r="E130" s="21" t="s">
        <v>13</v>
      </c>
      <c r="F130" s="21" t="s">
        <v>14</v>
      </c>
      <c r="G130" s="21" t="s">
        <v>15</v>
      </c>
      <c r="H130" s="22" t="s">
        <v>16</v>
      </c>
      <c r="I130" s="23" t="s">
        <v>17</v>
      </c>
      <c r="J130" s="24" t="s">
        <v>18</v>
      </c>
      <c r="L130" s="77"/>
      <c r="M130" s="90" t="s">
        <v>256</v>
      </c>
      <c r="N130" s="41">
        <v>20</v>
      </c>
      <c r="O130" s="187">
        <v>0.84</v>
      </c>
      <c r="P130" s="188">
        <v>0.34699999999999998</v>
      </c>
      <c r="Q130" s="188">
        <v>8</v>
      </c>
      <c r="R130" s="159">
        <f t="shared" ref="R130:R132" si="27">Q130*4+P130*9+O130*4</f>
        <v>38.482999999999997</v>
      </c>
      <c r="S130" s="151">
        <v>30</v>
      </c>
      <c r="T130" s="511" t="s">
        <v>34</v>
      </c>
    </row>
    <row r="131" spans="2:20" ht="15.75" thickBot="1" x14ac:dyDescent="0.3">
      <c r="B131" s="402"/>
      <c r="C131" s="26"/>
      <c r="D131" s="381"/>
      <c r="E131" s="28" t="s">
        <v>19</v>
      </c>
      <c r="F131" s="28" t="s">
        <v>20</v>
      </c>
      <c r="G131" s="28" t="s">
        <v>21</v>
      </c>
      <c r="H131" s="29" t="s">
        <v>22</v>
      </c>
      <c r="I131" s="30" t="s">
        <v>23</v>
      </c>
      <c r="J131" s="31" t="s">
        <v>24</v>
      </c>
      <c r="L131" s="77"/>
      <c r="M131" s="51" t="s">
        <v>33</v>
      </c>
      <c r="N131" s="41">
        <v>40</v>
      </c>
      <c r="O131" s="42">
        <v>2.04</v>
      </c>
      <c r="P131" s="43">
        <v>0.34</v>
      </c>
      <c r="Q131" s="43">
        <v>20.059999999999999</v>
      </c>
      <c r="R131" s="159">
        <f t="shared" si="27"/>
        <v>91.46</v>
      </c>
      <c r="S131" s="151">
        <v>31</v>
      </c>
      <c r="T131" s="511" t="s">
        <v>34</v>
      </c>
    </row>
    <row r="132" spans="2:20" ht="15.75" thickBot="1" x14ac:dyDescent="0.3">
      <c r="B132" s="200" t="s">
        <v>26</v>
      </c>
      <c r="C132" s="403" t="s">
        <v>106</v>
      </c>
      <c r="D132" s="404">
        <v>55</v>
      </c>
      <c r="E132" s="42">
        <v>0.44</v>
      </c>
      <c r="F132" s="385">
        <v>0.11</v>
      </c>
      <c r="G132" s="43">
        <v>0.99</v>
      </c>
      <c r="H132" s="44">
        <f t="shared" ref="H132:H137" si="28">G132*4+F132*9+E132*4</f>
        <v>6.71</v>
      </c>
      <c r="I132" s="436">
        <v>8</v>
      </c>
      <c r="J132" s="416" t="s">
        <v>107</v>
      </c>
      <c r="L132" s="161"/>
      <c r="M132" s="51" t="s">
        <v>52</v>
      </c>
      <c r="N132" s="62">
        <v>30</v>
      </c>
      <c r="O132" s="42">
        <v>1.6950000000000001</v>
      </c>
      <c r="P132" s="43">
        <v>0.36</v>
      </c>
      <c r="Q132" s="43">
        <v>12.55</v>
      </c>
      <c r="R132" s="159">
        <f t="shared" si="27"/>
        <v>60.220000000000006</v>
      </c>
      <c r="S132" s="164">
        <v>32</v>
      </c>
      <c r="T132" s="511" t="s">
        <v>34</v>
      </c>
    </row>
    <row r="133" spans="2:20" ht="15.75" thickBot="1" x14ac:dyDescent="0.3">
      <c r="B133" s="47" t="s">
        <v>110</v>
      </c>
      <c r="C133" s="169" t="s">
        <v>156</v>
      </c>
      <c r="D133" s="171" t="s">
        <v>257</v>
      </c>
      <c r="E133" s="384">
        <v>9.4329999999999998</v>
      </c>
      <c r="F133" s="385">
        <v>9.9969999999999999</v>
      </c>
      <c r="G133" s="385">
        <v>9.1880000000000006</v>
      </c>
      <c r="H133" s="44">
        <f t="shared" si="28"/>
        <v>164.45699999999999</v>
      </c>
      <c r="I133" s="45">
        <v>14</v>
      </c>
      <c r="J133" s="53" t="s">
        <v>157</v>
      </c>
      <c r="L133" s="391" t="s">
        <v>53</v>
      </c>
      <c r="M133" s="102"/>
      <c r="N133" s="103"/>
      <c r="O133" s="428">
        <f>SUM(O126:O132)</f>
        <v>28.146000000000001</v>
      </c>
      <c r="P133" s="440">
        <f>SUM(P126:P132)</f>
        <v>29.181999999999999</v>
      </c>
      <c r="Q133" s="430">
        <f>SUM(Q126:Q132)</f>
        <v>126.029</v>
      </c>
      <c r="R133" s="514">
        <f>SUM(R126:R132)</f>
        <v>879.33799999999997</v>
      </c>
      <c r="S133" s="107" t="s">
        <v>40</v>
      </c>
      <c r="T133" s="76"/>
    </row>
    <row r="134" spans="2:20" ht="16.5" thickBot="1" x14ac:dyDescent="0.3">
      <c r="B134" s="50" t="s">
        <v>32</v>
      </c>
      <c r="C134" s="169" t="s">
        <v>258</v>
      </c>
      <c r="D134" s="171">
        <v>150</v>
      </c>
      <c r="E134" s="42">
        <v>2.69</v>
      </c>
      <c r="F134" s="385">
        <v>11.96</v>
      </c>
      <c r="G134" s="456">
        <v>17.59</v>
      </c>
      <c r="H134" s="44">
        <f t="shared" si="28"/>
        <v>188.76</v>
      </c>
      <c r="I134" s="45">
        <v>3</v>
      </c>
      <c r="J134" s="53" t="s">
        <v>159</v>
      </c>
      <c r="L134" s="396" t="s">
        <v>56</v>
      </c>
      <c r="M134" s="116"/>
      <c r="N134" s="397"/>
      <c r="O134" s="398">
        <v>26.95</v>
      </c>
      <c r="P134" s="399">
        <v>27.65</v>
      </c>
      <c r="Q134" s="399">
        <v>117.25</v>
      </c>
      <c r="R134" s="400">
        <v>822.5</v>
      </c>
      <c r="S134" s="401" t="s">
        <v>55</v>
      </c>
      <c r="T134" s="83">
        <f>N126+N127+N129+N130+N131+N132+100+20</f>
        <v>760</v>
      </c>
    </row>
    <row r="135" spans="2:20" ht="15.75" thickBot="1" x14ac:dyDescent="0.3">
      <c r="B135" s="54" t="s">
        <v>259</v>
      </c>
      <c r="C135" s="169" t="s">
        <v>260</v>
      </c>
      <c r="D135" s="171">
        <v>200</v>
      </c>
      <c r="E135" s="42">
        <v>0.31</v>
      </c>
      <c r="F135" s="43">
        <v>0</v>
      </c>
      <c r="G135" s="235">
        <v>30.4</v>
      </c>
      <c r="H135" s="44">
        <f t="shared" si="28"/>
        <v>122.83999999999999</v>
      </c>
      <c r="I135" s="151">
        <v>29</v>
      </c>
      <c r="J135" s="53" t="s">
        <v>96</v>
      </c>
      <c r="N135" s="3"/>
      <c r="O135" s="3"/>
      <c r="P135" s="3"/>
      <c r="Q135" s="3"/>
      <c r="R135" s="3"/>
      <c r="S135" s="357"/>
      <c r="T135" s="357"/>
    </row>
    <row r="136" spans="2:20" ht="15.75" thickBot="1" x14ac:dyDescent="0.3">
      <c r="B136" s="77"/>
      <c r="C136" s="90" t="s">
        <v>33</v>
      </c>
      <c r="D136" s="390">
        <v>30</v>
      </c>
      <c r="E136" s="384">
        <v>1.575</v>
      </c>
      <c r="F136" s="385">
        <v>0.21299999999999999</v>
      </c>
      <c r="G136" s="385">
        <v>12.538</v>
      </c>
      <c r="H136" s="386">
        <f t="shared" si="28"/>
        <v>58.369</v>
      </c>
      <c r="I136" s="45">
        <v>22</v>
      </c>
      <c r="J136" s="53" t="s">
        <v>34</v>
      </c>
      <c r="L136" s="11" t="s">
        <v>4</v>
      </c>
      <c r="M136" s="12"/>
      <c r="N136" s="13" t="s">
        <v>5</v>
      </c>
      <c r="O136" s="14" t="s">
        <v>6</v>
      </c>
      <c r="P136" s="14"/>
      <c r="Q136" s="14"/>
      <c r="R136" s="15" t="s">
        <v>7</v>
      </c>
      <c r="S136" s="16" t="s">
        <v>8</v>
      </c>
      <c r="T136" s="17" t="s">
        <v>9</v>
      </c>
    </row>
    <row r="137" spans="2:20" ht="15.75" thickBot="1" x14ac:dyDescent="0.3">
      <c r="B137" s="77"/>
      <c r="C137" s="181" t="s">
        <v>52</v>
      </c>
      <c r="D137" s="41">
        <v>20</v>
      </c>
      <c r="E137" s="384">
        <v>1.1299999999999999</v>
      </c>
      <c r="F137" s="385">
        <v>0.24</v>
      </c>
      <c r="G137" s="385">
        <v>8.3699999999999992</v>
      </c>
      <c r="H137" s="386">
        <f t="shared" si="28"/>
        <v>40.159999999999997</v>
      </c>
      <c r="I137" s="48">
        <v>23</v>
      </c>
      <c r="J137" s="49" t="s">
        <v>34</v>
      </c>
      <c r="L137" s="18" t="s">
        <v>10</v>
      </c>
      <c r="M137" s="19" t="s">
        <v>11</v>
      </c>
      <c r="N137" s="20" t="s">
        <v>12</v>
      </c>
      <c r="O137" s="21" t="s">
        <v>13</v>
      </c>
      <c r="P137" s="21" t="s">
        <v>14</v>
      </c>
      <c r="Q137" s="21" t="s">
        <v>15</v>
      </c>
      <c r="R137" s="22" t="s">
        <v>16</v>
      </c>
      <c r="S137" s="23" t="s">
        <v>17</v>
      </c>
      <c r="T137" s="24" t="s">
        <v>18</v>
      </c>
    </row>
    <row r="138" spans="2:20" ht="15.75" thickBot="1" x14ac:dyDescent="0.3">
      <c r="B138" s="391" t="s">
        <v>39</v>
      </c>
      <c r="C138" s="102"/>
      <c r="D138" s="103"/>
      <c r="E138" s="428">
        <f>SUM(E132:E137)</f>
        <v>15.577999999999999</v>
      </c>
      <c r="F138" s="429">
        <f>SUM(F132:F137)</f>
        <v>22.52</v>
      </c>
      <c r="G138" s="429">
        <f>SUM(G132:G137)</f>
        <v>79.076000000000008</v>
      </c>
      <c r="H138" s="440">
        <f>SUM(H132:H137)</f>
        <v>581.29599999999994</v>
      </c>
      <c r="I138" s="395" t="s">
        <v>40</v>
      </c>
      <c r="J138" s="76"/>
      <c r="L138" s="25"/>
      <c r="M138" s="26"/>
      <c r="N138" s="381"/>
      <c r="O138" s="28" t="s">
        <v>19</v>
      </c>
      <c r="P138" s="28" t="s">
        <v>20</v>
      </c>
      <c r="Q138" s="28" t="s">
        <v>21</v>
      </c>
      <c r="R138" s="29" t="s">
        <v>22</v>
      </c>
      <c r="S138" s="228" t="s">
        <v>23</v>
      </c>
      <c r="T138" s="24" t="s">
        <v>24</v>
      </c>
    </row>
    <row r="139" spans="2:20" ht="15.75" thickBot="1" x14ac:dyDescent="0.3">
      <c r="B139" s="396" t="s">
        <v>56</v>
      </c>
      <c r="C139" s="116"/>
      <c r="D139" s="397"/>
      <c r="E139" s="398">
        <v>19.25</v>
      </c>
      <c r="F139" s="399">
        <v>19.75</v>
      </c>
      <c r="G139" s="399">
        <v>83.75</v>
      </c>
      <c r="H139" s="400">
        <v>587.5</v>
      </c>
      <c r="I139" s="401" t="s">
        <v>55</v>
      </c>
      <c r="J139" s="83">
        <f>D132+D134+D135+D136+D137+90</f>
        <v>545</v>
      </c>
      <c r="L139" s="200" t="s">
        <v>26</v>
      </c>
      <c r="M139" s="433" t="s">
        <v>295</v>
      </c>
      <c r="N139" s="33">
        <v>200</v>
      </c>
      <c r="O139" s="488">
        <v>7.15</v>
      </c>
      <c r="P139" s="43">
        <v>7.01</v>
      </c>
      <c r="Q139" s="43">
        <v>25.22</v>
      </c>
      <c r="R139" s="44">
        <f>Q139*4+P139*9+O139*4</f>
        <v>192.57</v>
      </c>
      <c r="S139" s="408">
        <v>10</v>
      </c>
      <c r="T139" s="387" t="s">
        <v>279</v>
      </c>
    </row>
    <row r="140" spans="2:20" x14ac:dyDescent="0.25">
      <c r="D140" s="3"/>
      <c r="E140" s="3"/>
      <c r="F140" s="3"/>
      <c r="G140" s="3"/>
      <c r="H140" s="3"/>
      <c r="I140" s="3"/>
      <c r="J140" s="3"/>
      <c r="L140" s="47" t="s">
        <v>110</v>
      </c>
      <c r="M140" s="51" t="s">
        <v>156</v>
      </c>
      <c r="N140" s="41" t="s">
        <v>296</v>
      </c>
      <c r="O140" s="42">
        <v>9.1029999999999998</v>
      </c>
      <c r="P140" s="43">
        <v>11.189</v>
      </c>
      <c r="Q140" s="43">
        <v>11.32</v>
      </c>
      <c r="R140" s="44">
        <f t="shared" ref="R140:R141" si="29">Q140*4+P140*9+O140*4</f>
        <v>182.393</v>
      </c>
      <c r="S140" s="280">
        <v>14</v>
      </c>
      <c r="T140" s="53" t="s">
        <v>157</v>
      </c>
    </row>
    <row r="141" spans="2:20" ht="16.5" thickBot="1" x14ac:dyDescent="0.3">
      <c r="D141" s="3"/>
      <c r="E141" s="3"/>
      <c r="F141" s="3"/>
      <c r="G141" s="3"/>
      <c r="H141" s="3"/>
      <c r="I141" s="3"/>
      <c r="J141" s="3"/>
      <c r="L141" s="477" t="s">
        <v>32</v>
      </c>
      <c r="M141" s="433" t="s">
        <v>158</v>
      </c>
      <c r="N141" s="41">
        <v>155</v>
      </c>
      <c r="O141" s="42">
        <v>2.7770000000000001</v>
      </c>
      <c r="P141" s="43">
        <v>11.907</v>
      </c>
      <c r="Q141" s="235">
        <v>13.05</v>
      </c>
      <c r="R141" s="44">
        <f t="shared" si="29"/>
        <v>170.471</v>
      </c>
      <c r="S141" s="291">
        <v>22</v>
      </c>
      <c r="T141" s="53" t="s">
        <v>159</v>
      </c>
    </row>
    <row r="142" spans="2:20" ht="15.75" thickBot="1" x14ac:dyDescent="0.3">
      <c r="B142" s="304" t="s">
        <v>215</v>
      </c>
      <c r="C142" s="305"/>
      <c r="D142" s="306"/>
      <c r="E142" s="14" t="s">
        <v>6</v>
      </c>
      <c r="F142" s="14"/>
      <c r="G142" s="14"/>
      <c r="H142" s="15" t="s">
        <v>7</v>
      </c>
      <c r="I142" s="307" t="s">
        <v>185</v>
      </c>
      <c r="J142" s="308"/>
      <c r="L142" s="47" t="s">
        <v>152</v>
      </c>
      <c r="M142" s="433" t="s">
        <v>260</v>
      </c>
      <c r="N142" s="41">
        <v>200</v>
      </c>
      <c r="O142" s="42">
        <v>0.31</v>
      </c>
      <c r="P142" s="43">
        <v>0</v>
      </c>
      <c r="Q142" s="235">
        <v>39.4</v>
      </c>
      <c r="R142" s="44">
        <f>Q142*4+P142*9+O142*4</f>
        <v>158.84</v>
      </c>
      <c r="S142" s="45">
        <v>38</v>
      </c>
      <c r="T142" s="203" t="s">
        <v>51</v>
      </c>
    </row>
    <row r="143" spans="2:20" x14ac:dyDescent="0.25">
      <c r="B143" s="309"/>
      <c r="C143" s="310" t="s">
        <v>261</v>
      </c>
      <c r="D143" s="311"/>
      <c r="E143" s="312" t="s">
        <v>13</v>
      </c>
      <c r="F143" s="21" t="s">
        <v>14</v>
      </c>
      <c r="G143" s="21" t="s">
        <v>15</v>
      </c>
      <c r="H143" s="22" t="s">
        <v>16</v>
      </c>
      <c r="I143" s="313" t="s">
        <v>187</v>
      </c>
      <c r="J143" s="314" t="s">
        <v>188</v>
      </c>
      <c r="L143" s="77"/>
      <c r="M143" s="51" t="s">
        <v>33</v>
      </c>
      <c r="N143" s="41">
        <v>45</v>
      </c>
      <c r="O143" s="158">
        <v>2.2949999999999999</v>
      </c>
      <c r="P143" s="43">
        <v>0.38300000000000001</v>
      </c>
      <c r="Q143" s="43">
        <v>22.568000000000001</v>
      </c>
      <c r="R143" s="159">
        <f>Q143*4+P143*9+O143*4</f>
        <v>102.899</v>
      </c>
      <c r="S143" s="45">
        <v>31</v>
      </c>
      <c r="T143" s="53" t="s">
        <v>34</v>
      </c>
    </row>
    <row r="144" spans="2:20" ht="15.75" thickBot="1" x14ac:dyDescent="0.3">
      <c r="B144" s="315"/>
      <c r="C144" s="316"/>
      <c r="D144" s="122"/>
      <c r="E144" s="317" t="s">
        <v>19</v>
      </c>
      <c r="F144" s="28" t="s">
        <v>20</v>
      </c>
      <c r="G144" s="28" t="s">
        <v>21</v>
      </c>
      <c r="H144" s="29" t="s">
        <v>22</v>
      </c>
      <c r="I144" s="313" t="s">
        <v>189</v>
      </c>
      <c r="J144" s="457"/>
      <c r="L144" s="77"/>
      <c r="M144" s="55" t="s">
        <v>52</v>
      </c>
      <c r="N144" s="56">
        <v>30</v>
      </c>
      <c r="O144" s="515">
        <v>1.6950000000000001</v>
      </c>
      <c r="P144" s="58">
        <v>0.36</v>
      </c>
      <c r="Q144" s="58">
        <v>12.55</v>
      </c>
      <c r="R144" s="140">
        <f>Q144*4+P144*9+O144*4</f>
        <v>60.220000000000006</v>
      </c>
      <c r="S144" s="48">
        <v>32</v>
      </c>
      <c r="T144" s="49" t="s">
        <v>34</v>
      </c>
    </row>
    <row r="145" spans="2:20" ht="15.75" thickBot="1" x14ac:dyDescent="0.3">
      <c r="B145" s="309"/>
      <c r="C145" s="458" t="s">
        <v>190</v>
      </c>
      <c r="D145" s="459">
        <v>1</v>
      </c>
      <c r="E145" s="460">
        <v>77</v>
      </c>
      <c r="F145" s="324">
        <v>79</v>
      </c>
      <c r="G145" s="325">
        <v>335</v>
      </c>
      <c r="H145" s="325">
        <v>2350</v>
      </c>
      <c r="I145" s="461" t="s">
        <v>13</v>
      </c>
      <c r="J145" s="462">
        <f>(E147-E149)*10</f>
        <v>2.7000000000398927E-3</v>
      </c>
      <c r="L145" s="77"/>
      <c r="M145" s="236" t="s">
        <v>37</v>
      </c>
      <c r="N145" s="62">
        <v>155</v>
      </c>
      <c r="O145" s="57">
        <v>0.62</v>
      </c>
      <c r="P145" s="427">
        <v>0.62</v>
      </c>
      <c r="Q145" s="58">
        <v>15.19</v>
      </c>
      <c r="R145" s="59">
        <f t="shared" ref="R145" si="30">Q145*4+P145*9+O145*4</f>
        <v>68.820000000000007</v>
      </c>
      <c r="S145" s="516">
        <v>33</v>
      </c>
      <c r="T145" s="165" t="s">
        <v>230</v>
      </c>
    </row>
    <row r="146" spans="2:20" ht="15.75" thickBot="1" x14ac:dyDescent="0.3">
      <c r="B146" s="329"/>
      <c r="C146" s="301" t="s">
        <v>191</v>
      </c>
      <c r="D146" s="330"/>
      <c r="E146" s="332"/>
      <c r="F146" s="332"/>
      <c r="G146" s="332"/>
      <c r="H146" s="332"/>
      <c r="I146" s="463" t="s">
        <v>14</v>
      </c>
      <c r="J146" s="335">
        <f>(F147-F149)*10</f>
        <v>5.9999999999860165E-3</v>
      </c>
      <c r="L146" s="101" t="s">
        <v>53</v>
      </c>
      <c r="M146" s="102"/>
      <c r="N146" s="103"/>
      <c r="O146" s="428">
        <f>SUM(O139:O145)</f>
        <v>23.95</v>
      </c>
      <c r="P146" s="429">
        <f>SUM(P139:P145)</f>
        <v>31.468999999999998</v>
      </c>
      <c r="Q146" s="429">
        <f>SUM(Q139:Q145)</f>
        <v>139.298</v>
      </c>
      <c r="R146" s="514">
        <f>SUM(R139:R145)</f>
        <v>936.21300000000008</v>
      </c>
      <c r="S146" s="107" t="s">
        <v>40</v>
      </c>
      <c r="T146" s="76"/>
    </row>
    <row r="147" spans="2:20" ht="15.75" thickBot="1" x14ac:dyDescent="0.3">
      <c r="B147" s="336" t="s">
        <v>192</v>
      </c>
      <c r="C147" s="464" t="s">
        <v>262</v>
      </c>
      <c r="D147" s="465">
        <v>0.25</v>
      </c>
      <c r="E147" s="466">
        <v>19.25</v>
      </c>
      <c r="F147" s="466">
        <v>19.75</v>
      </c>
      <c r="G147" s="466">
        <v>83.75</v>
      </c>
      <c r="H147" s="467">
        <v>587.5</v>
      </c>
      <c r="I147" s="463" t="s">
        <v>15</v>
      </c>
      <c r="J147" s="335">
        <f>(G147-G149)*10</f>
        <v>7.7000000000282398E-3</v>
      </c>
      <c r="L147" s="517" t="s">
        <v>56</v>
      </c>
      <c r="M147" s="116"/>
      <c r="N147" s="397"/>
      <c r="O147" s="398">
        <v>26.95</v>
      </c>
      <c r="P147" s="399">
        <v>27.65</v>
      </c>
      <c r="Q147" s="399">
        <v>117.25</v>
      </c>
      <c r="R147" s="400">
        <v>822.5</v>
      </c>
      <c r="S147" s="401" t="s">
        <v>55</v>
      </c>
      <c r="T147" s="83">
        <f>N139+N141+N142+N143+N144+N145+95</f>
        <v>880</v>
      </c>
    </row>
    <row r="148" spans="2:20" x14ac:dyDescent="0.25">
      <c r="B148" s="309"/>
      <c r="C148" s="343"/>
      <c r="D148" s="344"/>
      <c r="E148" s="468"/>
      <c r="F148" s="468"/>
      <c r="G148" s="469"/>
      <c r="H148" s="469"/>
      <c r="I148" s="470" t="s">
        <v>194</v>
      </c>
      <c r="J148" s="471"/>
      <c r="N148" s="3"/>
      <c r="O148" s="3"/>
      <c r="P148" s="3"/>
      <c r="Q148" s="3"/>
      <c r="R148" s="3"/>
      <c r="S148" s="3"/>
      <c r="T148" s="3"/>
    </row>
    <row r="149" spans="2:20" ht="15.75" thickBot="1" x14ac:dyDescent="0.3">
      <c r="B149" s="349"/>
      <c r="C149" s="350" t="s">
        <v>263</v>
      </c>
      <c r="D149" s="351"/>
      <c r="E149" s="353">
        <f>(E17+E28+E39+E51+E69+E83+E95+E108+E126+E138)/10</f>
        <v>19.249729999999996</v>
      </c>
      <c r="F149" s="353">
        <f>(F17+F28+F39+F51+F69+F83+F95+F108+F126+F138)/10</f>
        <v>19.749400000000001</v>
      </c>
      <c r="G149" s="472">
        <f>(G17+G28+G39+G51+G69+G83+G95+G108+G126+G138)/10</f>
        <v>83.749229999999997</v>
      </c>
      <c r="H149" s="473">
        <f>(H17+H28+H39+H51+H69+H83+H95+H108+H126+H138)/10</f>
        <v>589.74044000000004</v>
      </c>
      <c r="I149" s="474" t="s">
        <v>22</v>
      </c>
      <c r="J149" s="475">
        <f>(H147-H149)*10</f>
        <v>-22.404400000000351</v>
      </c>
      <c r="N149" s="3"/>
      <c r="O149" s="3"/>
      <c r="P149" s="3"/>
      <c r="Q149" s="3"/>
      <c r="R149" s="3"/>
      <c r="S149" s="359"/>
      <c r="T149" s="360"/>
    </row>
    <row r="150" spans="2:20" ht="15.75" thickBot="1" x14ac:dyDescent="0.3">
      <c r="L150" s="304" t="s">
        <v>215</v>
      </c>
      <c r="M150" s="305"/>
      <c r="N150" s="306"/>
      <c r="O150" s="14" t="s">
        <v>6</v>
      </c>
      <c r="P150" s="14"/>
      <c r="Q150" s="14"/>
      <c r="R150" s="16" t="s">
        <v>7</v>
      </c>
      <c r="S150" s="307" t="s">
        <v>185</v>
      </c>
      <c r="T150" s="308"/>
    </row>
    <row r="151" spans="2:20" x14ac:dyDescent="0.25">
      <c r="L151" s="309"/>
      <c r="M151" s="310" t="s">
        <v>297</v>
      </c>
      <c r="N151" s="311"/>
      <c r="O151" s="312" t="s">
        <v>13</v>
      </c>
      <c r="P151" s="21" t="s">
        <v>14</v>
      </c>
      <c r="Q151" s="21" t="s">
        <v>15</v>
      </c>
      <c r="R151" s="18" t="s">
        <v>16</v>
      </c>
      <c r="S151" s="313" t="s">
        <v>187</v>
      </c>
      <c r="T151" s="314" t="s">
        <v>188</v>
      </c>
    </row>
    <row r="152" spans="2:20" ht="15.75" thickBot="1" x14ac:dyDescent="0.3">
      <c r="L152" s="315"/>
      <c r="M152" s="316"/>
      <c r="N152" s="122"/>
      <c r="O152" s="317" t="s">
        <v>19</v>
      </c>
      <c r="P152" s="28" t="s">
        <v>20</v>
      </c>
      <c r="Q152" s="28" t="s">
        <v>21</v>
      </c>
      <c r="R152" s="318" t="s">
        <v>22</v>
      </c>
      <c r="S152" s="313" t="s">
        <v>189</v>
      </c>
      <c r="T152" s="457"/>
    </row>
    <row r="153" spans="2:20" x14ac:dyDescent="0.25">
      <c r="L153" s="320"/>
      <c r="M153" s="321" t="s">
        <v>190</v>
      </c>
      <c r="N153" s="322">
        <v>1</v>
      </c>
      <c r="O153" s="323">
        <v>77</v>
      </c>
      <c r="P153" s="324">
        <v>79</v>
      </c>
      <c r="Q153" s="325">
        <v>335</v>
      </c>
      <c r="R153" s="326">
        <v>2350</v>
      </c>
      <c r="S153" s="461" t="s">
        <v>13</v>
      </c>
      <c r="T153" s="462">
        <f>(O155-O157)*10</f>
        <v>8.0000000000168825E-3</v>
      </c>
    </row>
    <row r="154" spans="2:20" x14ac:dyDescent="0.25">
      <c r="L154" s="329"/>
      <c r="M154" s="301" t="s">
        <v>191</v>
      </c>
      <c r="N154" s="330"/>
      <c r="O154" s="331"/>
      <c r="P154" s="332"/>
      <c r="Q154" s="332"/>
      <c r="R154" s="333"/>
      <c r="S154" s="463" t="s">
        <v>14</v>
      </c>
      <c r="T154" s="335">
        <f>(P155-P157)*10</f>
        <v>5.9999999999504894E-3</v>
      </c>
    </row>
    <row r="155" spans="2:20" x14ac:dyDescent="0.25">
      <c r="L155" s="336" t="s">
        <v>192</v>
      </c>
      <c r="M155" s="464" t="s">
        <v>298</v>
      </c>
      <c r="N155" s="465">
        <v>0.35</v>
      </c>
      <c r="O155" s="518">
        <v>26.95</v>
      </c>
      <c r="P155" s="337">
        <v>27.65</v>
      </c>
      <c r="Q155" s="466">
        <v>117.25</v>
      </c>
      <c r="R155" s="519">
        <v>822.5</v>
      </c>
      <c r="S155" s="463" t="s">
        <v>15</v>
      </c>
      <c r="T155" s="520">
        <f>(Q155-Q157)*10</f>
        <v>4.9999999998817657E-3</v>
      </c>
    </row>
    <row r="156" spans="2:20" x14ac:dyDescent="0.25">
      <c r="L156" s="309"/>
      <c r="M156" s="343"/>
      <c r="N156" s="344"/>
      <c r="O156" s="45"/>
      <c r="P156" s="469"/>
      <c r="Q156" s="469"/>
      <c r="R156" s="521"/>
      <c r="S156" s="470" t="s">
        <v>194</v>
      </c>
      <c r="T156" s="471"/>
    </row>
    <row r="157" spans="2:20" ht="15.75" thickBot="1" x14ac:dyDescent="0.3">
      <c r="L157" s="349"/>
      <c r="M157" s="350" t="s">
        <v>263</v>
      </c>
      <c r="N157" s="351"/>
      <c r="O157" s="522">
        <f>(O18+O31+O44+O57+O74+O89+O102+O116+O133+O146)/10</f>
        <v>26.949199999999998</v>
      </c>
      <c r="P157" s="473">
        <f>(P18+P31+P44+P57+P74+P89+P102+P116+P133+P146)/10</f>
        <v>27.649400000000004</v>
      </c>
      <c r="Q157" s="473">
        <f>(Q18+Q31+Q44+Q57+Q74+Q89+Q102+Q116+Q133+Q146)/10</f>
        <v>117.24950000000001</v>
      </c>
      <c r="R157" s="354">
        <f>(R18+R31+R44+R57+R74+R89+R102+R116+R133+R146)/10</f>
        <v>825.63940000000002</v>
      </c>
      <c r="S157" s="474" t="s">
        <v>22</v>
      </c>
      <c r="T157" s="475">
        <f>(R155-R157)*10</f>
        <v>-31.394000000000233</v>
      </c>
    </row>
    <row r="158" spans="2:20" x14ac:dyDescent="0.25">
      <c r="O158" s="3"/>
      <c r="P158" s="3"/>
      <c r="Q158" s="3"/>
      <c r="R158" s="3"/>
      <c r="S158" s="357"/>
      <c r="T158" s="357"/>
    </row>
    <row r="159" spans="2:20" x14ac:dyDescent="0.25">
      <c r="N159" s="3"/>
      <c r="O159" s="3"/>
      <c r="P159" s="3"/>
      <c r="Q159" s="3"/>
      <c r="R159" s="3"/>
      <c r="S159" s="358"/>
      <c r="T159" s="358"/>
    </row>
    <row r="160" spans="2:20" x14ac:dyDescent="0.25">
      <c r="N160" s="3"/>
      <c r="O160" s="3"/>
      <c r="P160" s="3"/>
      <c r="Q160" s="3"/>
      <c r="R160" s="3"/>
      <c r="S160" s="359"/>
      <c r="T160" s="360"/>
    </row>
    <row r="161" spans="12:20" x14ac:dyDescent="0.25">
      <c r="L161" s="248" t="s">
        <v>196</v>
      </c>
      <c r="R161" t="s">
        <v>197</v>
      </c>
    </row>
    <row r="162" spans="12:20" x14ac:dyDescent="0.25">
      <c r="N162" s="3"/>
      <c r="O162" s="3"/>
      <c r="P162" s="3"/>
      <c r="Q162" s="3"/>
      <c r="R162" s="3"/>
      <c r="S162" s="3"/>
      <c r="T162" s="3"/>
    </row>
    <row r="163" spans="12:20" x14ac:dyDescent="0.25">
      <c r="M163" t="s">
        <v>198</v>
      </c>
      <c r="O163" s="361"/>
    </row>
    <row r="164" spans="12:20" x14ac:dyDescent="0.25">
      <c r="L164" s="362">
        <v>1</v>
      </c>
      <c r="M164" s="363" t="s">
        <v>199</v>
      </c>
      <c r="N164" s="364"/>
      <c r="O164" s="363" t="s">
        <v>200</v>
      </c>
      <c r="P164" s="364"/>
      <c r="Q164" s="3"/>
      <c r="R164" s="364"/>
      <c r="S164" s="364"/>
      <c r="T164" s="364"/>
    </row>
    <row r="165" spans="12:20" x14ac:dyDescent="0.25">
      <c r="L165" s="362"/>
      <c r="M165" s="365" t="s">
        <v>201</v>
      </c>
      <c r="N165" s="366"/>
      <c r="O165" s="365" t="s">
        <v>202</v>
      </c>
      <c r="P165" s="3"/>
      <c r="Q165" s="366"/>
      <c r="R165" s="366"/>
      <c r="S165" s="366"/>
      <c r="T165" s="366"/>
    </row>
    <row r="166" spans="12:20" x14ac:dyDescent="0.25">
      <c r="M166" s="365" t="s">
        <v>203</v>
      </c>
      <c r="N166" s="366"/>
      <c r="O166" s="367"/>
      <c r="P166" s="3"/>
      <c r="Q166" s="366"/>
      <c r="R166" s="366"/>
      <c r="S166" s="366"/>
      <c r="T166" s="366"/>
    </row>
    <row r="167" spans="12:20" x14ac:dyDescent="0.25">
      <c r="M167" s="365" t="s">
        <v>204</v>
      </c>
      <c r="N167" s="366"/>
      <c r="O167" s="368"/>
      <c r="P167" s="366"/>
      <c r="Q167" s="366"/>
      <c r="R167" s="363" t="s">
        <v>205</v>
      </c>
      <c r="S167" s="366"/>
      <c r="T167" s="366"/>
    </row>
    <row r="168" spans="12:20" x14ac:dyDescent="0.25">
      <c r="L168">
        <v>2</v>
      </c>
      <c r="M168" s="366" t="s">
        <v>206</v>
      </c>
      <c r="N168" s="366"/>
      <c r="O168" s="368"/>
      <c r="P168" s="366" t="s">
        <v>207</v>
      </c>
      <c r="Q168" s="366"/>
      <c r="R168" s="366"/>
      <c r="S168" s="366"/>
      <c r="T168" s="366"/>
    </row>
    <row r="169" spans="12:20" x14ac:dyDescent="0.25">
      <c r="M169" s="366" t="s">
        <v>208</v>
      </c>
      <c r="N169" s="366"/>
      <c r="O169" s="368"/>
      <c r="P169" s="366"/>
      <c r="Q169" s="369"/>
      <c r="R169" s="366"/>
      <c r="S169" s="366"/>
      <c r="T169" s="366"/>
    </row>
    <row r="170" spans="12:20" x14ac:dyDescent="0.25">
      <c r="L170">
        <v>3</v>
      </c>
      <c r="M170" s="366" t="s">
        <v>209</v>
      </c>
      <c r="N170" s="366"/>
      <c r="O170" s="368"/>
      <c r="P170" s="366"/>
      <c r="Q170" s="366"/>
      <c r="R170" s="366"/>
      <c r="S170" s="366"/>
      <c r="T170" s="366"/>
    </row>
    <row r="171" spans="12:20" x14ac:dyDescent="0.25">
      <c r="M171" s="366" t="s">
        <v>210</v>
      </c>
      <c r="N171" s="366"/>
      <c r="O171" s="368"/>
      <c r="P171" s="366"/>
      <c r="Q171" s="369"/>
      <c r="R171" s="366"/>
      <c r="S171" s="366"/>
      <c r="T171" s="3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topLeftCell="A94" workbookViewId="0">
      <selection activeCell="K104" sqref="K104:S115"/>
    </sheetView>
  </sheetViews>
  <sheetFormatPr defaultRowHeight="15" x14ac:dyDescent="0.25"/>
  <cols>
    <col min="9" max="9" width="8.7109375" customWidth="1"/>
  </cols>
  <sheetData>
    <row r="1" spans="1:19" x14ac:dyDescent="0.25">
      <c r="B1" s="370" t="s">
        <v>211</v>
      </c>
      <c r="C1" s="3"/>
      <c r="D1" s="3"/>
      <c r="E1" s="3"/>
      <c r="F1" s="3"/>
      <c r="G1" s="3"/>
      <c r="H1" s="3"/>
      <c r="I1" s="3"/>
    </row>
    <row r="2" spans="1:19" x14ac:dyDescent="0.25">
      <c r="B2" s="1" t="s">
        <v>313</v>
      </c>
      <c r="F2" s="3"/>
      <c r="H2" s="3"/>
      <c r="I2" s="5">
        <v>0.25</v>
      </c>
    </row>
    <row r="3" spans="1:19" x14ac:dyDescent="0.25">
      <c r="B3" s="2" t="s">
        <v>213</v>
      </c>
      <c r="E3" s="2"/>
      <c r="F3" s="2"/>
      <c r="G3" s="4"/>
      <c r="H3" s="4"/>
      <c r="I3" s="4"/>
    </row>
    <row r="4" spans="1:19" x14ac:dyDescent="0.25">
      <c r="C4" s="3"/>
      <c r="D4" s="3"/>
      <c r="E4" s="3"/>
      <c r="F4" s="3"/>
      <c r="G4" s="3"/>
      <c r="H4" s="3"/>
      <c r="I4" s="3"/>
      <c r="L4" s="370" t="s">
        <v>264</v>
      </c>
      <c r="M4" s="3"/>
      <c r="P4" s="3"/>
      <c r="R4" s="5"/>
    </row>
    <row r="5" spans="1:19" ht="15.75" x14ac:dyDescent="0.25">
      <c r="C5" s="371" t="s">
        <v>214</v>
      </c>
      <c r="D5" s="3"/>
      <c r="E5" s="3"/>
      <c r="F5" s="3"/>
      <c r="G5" s="3"/>
      <c r="H5" s="3"/>
      <c r="I5" s="3"/>
      <c r="L5" s="224" t="s">
        <v>265</v>
      </c>
      <c r="P5" s="3"/>
      <c r="R5" s="3"/>
      <c r="S5" s="5">
        <v>0.35</v>
      </c>
    </row>
    <row r="6" spans="1:19" x14ac:dyDescent="0.25">
      <c r="A6" s="2"/>
      <c r="C6" s="3"/>
      <c r="L6" s="2" t="s">
        <v>266</v>
      </c>
      <c r="M6" s="3"/>
      <c r="P6" s="2"/>
      <c r="Q6" s="2"/>
      <c r="R6" s="4"/>
      <c r="S6" s="4"/>
    </row>
    <row r="7" spans="1:19" ht="15.75" x14ac:dyDescent="0.25">
      <c r="A7" s="372" t="s">
        <v>314</v>
      </c>
      <c r="B7" s="4"/>
      <c r="D7" s="3"/>
      <c r="E7" s="372" t="s">
        <v>2</v>
      </c>
      <c r="F7" s="4" t="s">
        <v>216</v>
      </c>
      <c r="G7" s="4"/>
      <c r="H7" s="4"/>
      <c r="I7" s="3"/>
      <c r="K7" s="523" t="s">
        <v>299</v>
      </c>
      <c r="L7" s="4"/>
      <c r="N7" s="3"/>
      <c r="O7" s="9" t="s">
        <v>2</v>
      </c>
      <c r="P7" s="3"/>
      <c r="Q7" s="10" t="s">
        <v>267</v>
      </c>
      <c r="R7" s="4"/>
      <c r="S7" s="4"/>
    </row>
    <row r="8" spans="1:19" ht="21.75" thickBot="1" x14ac:dyDescent="0.4">
      <c r="C8" s="373"/>
      <c r="D8" s="3"/>
      <c r="E8" s="3"/>
      <c r="F8" s="3"/>
      <c r="G8" s="2"/>
      <c r="H8" s="4"/>
      <c r="I8" s="4"/>
      <c r="M8" s="373" t="s">
        <v>1</v>
      </c>
      <c r="N8" s="3"/>
      <c r="O8" s="3"/>
      <c r="P8" s="3"/>
      <c r="Q8" s="2"/>
      <c r="R8" s="4"/>
      <c r="S8" s="4"/>
    </row>
    <row r="9" spans="1:19" ht="15.75" thickBot="1" x14ac:dyDescent="0.3">
      <c r="A9" s="374" t="s">
        <v>4</v>
      </c>
      <c r="B9" s="12"/>
      <c r="C9" s="375" t="s">
        <v>5</v>
      </c>
      <c r="D9" s="14" t="s">
        <v>6</v>
      </c>
      <c r="E9" s="14"/>
      <c r="F9" s="14"/>
      <c r="G9" s="376" t="s">
        <v>7</v>
      </c>
      <c r="H9" s="377" t="s">
        <v>8</v>
      </c>
      <c r="I9" s="200" t="s">
        <v>9</v>
      </c>
      <c r="K9" s="11" t="s">
        <v>4</v>
      </c>
      <c r="L9" s="12"/>
      <c r="M9" s="13" t="s">
        <v>5</v>
      </c>
      <c r="N9" s="14" t="s">
        <v>268</v>
      </c>
      <c r="O9" s="14"/>
      <c r="P9" s="14"/>
      <c r="Q9" s="15" t="s">
        <v>7</v>
      </c>
      <c r="R9" s="16" t="s">
        <v>8</v>
      </c>
      <c r="S9" s="17" t="s">
        <v>9</v>
      </c>
    </row>
    <row r="10" spans="1:19" x14ac:dyDescent="0.25">
      <c r="A10" s="378" t="s">
        <v>10</v>
      </c>
      <c r="B10" s="19" t="s">
        <v>11</v>
      </c>
      <c r="C10" s="114" t="s">
        <v>12</v>
      </c>
      <c r="D10" s="379" t="s">
        <v>13</v>
      </c>
      <c r="E10" s="379" t="s">
        <v>14</v>
      </c>
      <c r="F10" s="379" t="s">
        <v>15</v>
      </c>
      <c r="G10" s="39" t="s">
        <v>16</v>
      </c>
      <c r="H10" s="23" t="s">
        <v>17</v>
      </c>
      <c r="I10" s="24" t="s">
        <v>18</v>
      </c>
      <c r="K10" s="18" t="s">
        <v>10</v>
      </c>
      <c r="L10" s="19" t="s">
        <v>11</v>
      </c>
      <c r="M10" s="20" t="s">
        <v>12</v>
      </c>
      <c r="N10" s="21" t="s">
        <v>13</v>
      </c>
      <c r="O10" s="21" t="s">
        <v>14</v>
      </c>
      <c r="P10" s="21" t="s">
        <v>15</v>
      </c>
      <c r="Q10" s="22" t="s">
        <v>16</v>
      </c>
      <c r="R10" s="23" t="s">
        <v>17</v>
      </c>
      <c r="S10" s="24" t="s">
        <v>18</v>
      </c>
    </row>
    <row r="11" spans="1:19" ht="15.75" thickBot="1" x14ac:dyDescent="0.3">
      <c r="A11" s="380"/>
      <c r="B11" s="26"/>
      <c r="C11" s="381"/>
      <c r="D11" s="29" t="s">
        <v>19</v>
      </c>
      <c r="E11" s="29" t="s">
        <v>20</v>
      </c>
      <c r="F11" s="29" t="s">
        <v>21</v>
      </c>
      <c r="G11" s="29" t="s">
        <v>22</v>
      </c>
      <c r="H11" s="30" t="s">
        <v>23</v>
      </c>
      <c r="I11" s="31" t="s">
        <v>24</v>
      </c>
      <c r="K11" s="25"/>
      <c r="L11" s="26"/>
      <c r="M11" s="381"/>
      <c r="N11" s="28" t="s">
        <v>19</v>
      </c>
      <c r="O11" s="28" t="s">
        <v>20</v>
      </c>
      <c r="P11" s="28" t="s">
        <v>21</v>
      </c>
      <c r="Q11" s="29" t="s">
        <v>22</v>
      </c>
      <c r="R11" s="30" t="s">
        <v>23</v>
      </c>
      <c r="S11" s="31" t="s">
        <v>24</v>
      </c>
    </row>
    <row r="12" spans="1:19" x14ac:dyDescent="0.25">
      <c r="A12" s="12"/>
      <c r="B12" s="382" t="s">
        <v>217</v>
      </c>
      <c r="C12" s="33">
        <v>200</v>
      </c>
      <c r="D12" s="42">
        <v>5.6020000000000003</v>
      </c>
      <c r="E12" s="385">
        <v>7.98</v>
      </c>
      <c r="F12" s="385">
        <v>38.03</v>
      </c>
      <c r="G12" s="44">
        <f>F12*4+E12*9+D12*4</f>
        <v>246.34800000000001</v>
      </c>
      <c r="H12" s="48">
        <v>2</v>
      </c>
      <c r="I12" s="387" t="s">
        <v>46</v>
      </c>
      <c r="K12" s="12"/>
      <c r="L12" s="413" t="s">
        <v>269</v>
      </c>
      <c r="M12" s="33">
        <v>250</v>
      </c>
      <c r="N12" s="480">
        <v>2.875</v>
      </c>
      <c r="O12" s="96">
        <v>5.0599999999999996</v>
      </c>
      <c r="P12" s="96">
        <v>17.163</v>
      </c>
      <c r="Q12" s="36">
        <f>P12*4+O12*9+N12*4</f>
        <v>125.69200000000001</v>
      </c>
      <c r="R12" s="436">
        <v>1</v>
      </c>
      <c r="S12" s="442" t="s">
        <v>44</v>
      </c>
    </row>
    <row r="13" spans="1:19" x14ac:dyDescent="0.25">
      <c r="A13" s="388" t="s">
        <v>26</v>
      </c>
      <c r="B13" s="382" t="s">
        <v>218</v>
      </c>
      <c r="C13" s="89" t="s">
        <v>48</v>
      </c>
      <c r="D13" s="384">
        <v>17.260999999999999</v>
      </c>
      <c r="E13" s="385">
        <v>14.69</v>
      </c>
      <c r="F13" s="385">
        <v>9.0713000000000008</v>
      </c>
      <c r="G13" s="44">
        <f>F13*4+E13*9+D13*4</f>
        <v>237.53919999999999</v>
      </c>
      <c r="H13" s="151">
        <v>12</v>
      </c>
      <c r="I13" s="46" t="s">
        <v>49</v>
      </c>
      <c r="K13" s="388" t="s">
        <v>26</v>
      </c>
      <c r="L13" s="382" t="s">
        <v>217</v>
      </c>
      <c r="M13" s="41">
        <v>210</v>
      </c>
      <c r="N13" s="42">
        <v>5.1189999999999998</v>
      </c>
      <c r="O13" s="43">
        <v>7.0140000000000002</v>
      </c>
      <c r="P13" s="43">
        <v>39.94</v>
      </c>
      <c r="Q13" s="44">
        <f>P13*4+O13*9+N13*4</f>
        <v>243.36199999999999</v>
      </c>
      <c r="R13" s="48">
        <v>21</v>
      </c>
      <c r="S13" s="53" t="s">
        <v>46</v>
      </c>
    </row>
    <row r="14" spans="1:19" x14ac:dyDescent="0.25">
      <c r="A14" s="47" t="s">
        <v>29</v>
      </c>
      <c r="B14" s="183" t="s">
        <v>50</v>
      </c>
      <c r="C14" s="41">
        <v>200</v>
      </c>
      <c r="D14" s="42">
        <v>1</v>
      </c>
      <c r="E14" s="43">
        <v>0</v>
      </c>
      <c r="F14" s="43">
        <v>20.92</v>
      </c>
      <c r="G14" s="159">
        <f t="shared" ref="G14:G16" si="0">F14*4+E14*9+D14*4</f>
        <v>87.68</v>
      </c>
      <c r="H14" s="389">
        <v>27</v>
      </c>
      <c r="I14" s="53" t="s">
        <v>51</v>
      </c>
      <c r="K14" s="47" t="s">
        <v>29</v>
      </c>
      <c r="L14" s="382" t="s">
        <v>218</v>
      </c>
      <c r="M14" s="89" t="s">
        <v>300</v>
      </c>
      <c r="N14" s="42">
        <v>17.215</v>
      </c>
      <c r="O14" s="43">
        <v>15.74</v>
      </c>
      <c r="P14" s="43">
        <v>19.02</v>
      </c>
      <c r="Q14" s="44">
        <f>P14*4+O14*9+N14*4</f>
        <v>286.60000000000002</v>
      </c>
      <c r="R14" s="151">
        <v>12</v>
      </c>
      <c r="S14" s="46" t="s">
        <v>49</v>
      </c>
    </row>
    <row r="15" spans="1:19" ht="15.75" x14ac:dyDescent="0.25">
      <c r="A15" s="50" t="s">
        <v>32</v>
      </c>
      <c r="B15" s="90" t="s">
        <v>33</v>
      </c>
      <c r="C15" s="41">
        <v>40</v>
      </c>
      <c r="D15" s="42">
        <v>2.04</v>
      </c>
      <c r="E15" s="43">
        <v>0.34</v>
      </c>
      <c r="F15" s="43">
        <v>20.059999999999999</v>
      </c>
      <c r="G15" s="44">
        <f>F15*4+E15*9+D15*4</f>
        <v>91.46</v>
      </c>
      <c r="H15" s="45">
        <v>24</v>
      </c>
      <c r="I15" s="53" t="s">
        <v>34</v>
      </c>
      <c r="K15" s="477" t="s">
        <v>32</v>
      </c>
      <c r="L15" s="183" t="s">
        <v>50</v>
      </c>
      <c r="M15" s="41">
        <v>200</v>
      </c>
      <c r="N15" s="42">
        <v>1</v>
      </c>
      <c r="O15" s="43">
        <v>0</v>
      </c>
      <c r="P15" s="43">
        <v>20.92</v>
      </c>
      <c r="Q15" s="159">
        <f t="shared" ref="Q15" si="1">P15*4+O15*9+N15*4</f>
        <v>87.68</v>
      </c>
      <c r="R15" s="389">
        <v>34</v>
      </c>
      <c r="S15" s="53" t="s">
        <v>51</v>
      </c>
    </row>
    <row r="16" spans="1:19" ht="15.75" thickBot="1" x14ac:dyDescent="0.3">
      <c r="A16" s="54" t="s">
        <v>35</v>
      </c>
      <c r="B16" s="90" t="s">
        <v>52</v>
      </c>
      <c r="C16" s="62">
        <v>30</v>
      </c>
      <c r="D16" s="63">
        <v>1.6950000000000001</v>
      </c>
      <c r="E16" s="65">
        <v>0.36</v>
      </c>
      <c r="F16" s="65">
        <v>12.555</v>
      </c>
      <c r="G16" s="549">
        <f t="shared" si="0"/>
        <v>60.24</v>
      </c>
      <c r="H16" s="48">
        <v>25</v>
      </c>
      <c r="I16" s="165" t="s">
        <v>34</v>
      </c>
      <c r="K16" s="47" t="s">
        <v>35</v>
      </c>
      <c r="L16" s="90" t="s">
        <v>33</v>
      </c>
      <c r="M16" s="41">
        <v>60</v>
      </c>
      <c r="N16" s="42">
        <v>3.06</v>
      </c>
      <c r="O16" s="43">
        <v>0.51</v>
      </c>
      <c r="P16" s="43">
        <v>30.09</v>
      </c>
      <c r="Q16" s="159">
        <f>P16*4+O16*9+N16*4</f>
        <v>137.19</v>
      </c>
      <c r="R16" s="45">
        <v>31</v>
      </c>
      <c r="S16" s="53" t="s">
        <v>34</v>
      </c>
    </row>
    <row r="17" spans="1:19" ht="15.75" thickBot="1" x14ac:dyDescent="0.3">
      <c r="A17" s="391" t="s">
        <v>39</v>
      </c>
      <c r="B17" s="117"/>
      <c r="C17" s="392"/>
      <c r="D17" s="110">
        <f>SUM(D12:D16)</f>
        <v>27.597999999999999</v>
      </c>
      <c r="E17" s="412">
        <f>SUM(E12:E16)</f>
        <v>23.37</v>
      </c>
      <c r="F17" s="550">
        <f>SUM(F12:F16)</f>
        <v>100.63630000000001</v>
      </c>
      <c r="G17" s="550">
        <f>SUM(G12:G16)</f>
        <v>723.2672</v>
      </c>
      <c r="H17" s="395" t="s">
        <v>40</v>
      </c>
      <c r="I17" s="76"/>
      <c r="K17" s="77"/>
      <c r="L17" s="90" t="s">
        <v>52</v>
      </c>
      <c r="M17" s="62">
        <v>40</v>
      </c>
      <c r="N17" s="384">
        <v>2.2599999999999998</v>
      </c>
      <c r="O17" s="385">
        <v>0.48</v>
      </c>
      <c r="P17" s="385">
        <v>16.739999999999998</v>
      </c>
      <c r="Q17" s="159">
        <f>P17*4+O17*9+N17*4</f>
        <v>80.319999999999993</v>
      </c>
      <c r="R17" s="48">
        <v>32</v>
      </c>
      <c r="S17" s="165" t="s">
        <v>34</v>
      </c>
    </row>
    <row r="18" spans="1:19" ht="15.75" thickBot="1" x14ac:dyDescent="0.3">
      <c r="A18" s="396" t="s">
        <v>56</v>
      </c>
      <c r="B18" s="316"/>
      <c r="C18" s="397"/>
      <c r="D18" s="524">
        <v>22.5</v>
      </c>
      <c r="E18" s="525">
        <v>23</v>
      </c>
      <c r="F18" s="525">
        <v>95.75</v>
      </c>
      <c r="G18" s="525">
        <v>680</v>
      </c>
      <c r="H18" s="401" t="s">
        <v>55</v>
      </c>
      <c r="I18" s="83">
        <f>C12+C14+C15+C16+80+50</f>
        <v>600</v>
      </c>
      <c r="K18" s="101" t="s">
        <v>53</v>
      </c>
      <c r="L18" s="117"/>
      <c r="M18" s="392"/>
      <c r="N18" s="393">
        <f>SUM(N12:N17)</f>
        <v>31.528999999999996</v>
      </c>
      <c r="O18" s="394">
        <f>SUM(O12:O17)</f>
        <v>28.804000000000002</v>
      </c>
      <c r="P18" s="394">
        <f>SUM(P12:P17)</f>
        <v>143.87299999999999</v>
      </c>
      <c r="Q18" s="478">
        <f>SUM(Q12:Q17)</f>
        <v>960.84400000000005</v>
      </c>
      <c r="R18" s="107" t="s">
        <v>40</v>
      </c>
      <c r="S18" s="76"/>
    </row>
    <row r="19" spans="1:19" ht="15.75" thickBot="1" x14ac:dyDescent="0.3">
      <c r="C19" s="3"/>
      <c r="D19" s="3"/>
      <c r="E19" s="3"/>
      <c r="F19" s="3"/>
      <c r="G19" s="3"/>
      <c r="H19" s="3"/>
      <c r="I19" s="3"/>
      <c r="K19" s="396" t="s">
        <v>56</v>
      </c>
      <c r="L19" s="316"/>
      <c r="M19" s="397"/>
      <c r="N19" s="524">
        <v>31.5</v>
      </c>
      <c r="O19" s="525">
        <v>32.200000000000003</v>
      </c>
      <c r="P19" s="526">
        <v>134.05000000000001</v>
      </c>
      <c r="Q19" s="119">
        <v>952</v>
      </c>
      <c r="R19" s="401" t="s">
        <v>55</v>
      </c>
      <c r="S19" s="83">
        <f>M12+M13+M15+M16+M17+94+50</f>
        <v>904</v>
      </c>
    </row>
    <row r="20" spans="1:19" ht="15.75" thickBot="1" x14ac:dyDescent="0.3">
      <c r="A20" s="11" t="s">
        <v>4</v>
      </c>
      <c r="B20" s="12"/>
      <c r="C20" s="13" t="s">
        <v>5</v>
      </c>
      <c r="D20" s="14" t="s">
        <v>6</v>
      </c>
      <c r="E20" s="14"/>
      <c r="F20" s="14"/>
      <c r="G20" s="15" t="s">
        <v>7</v>
      </c>
      <c r="H20" s="16" t="s">
        <v>8</v>
      </c>
      <c r="I20" s="17" t="s">
        <v>9</v>
      </c>
      <c r="M20" s="3"/>
      <c r="N20" s="3"/>
      <c r="O20" s="3"/>
      <c r="P20" s="3"/>
      <c r="Q20" s="3"/>
      <c r="R20" s="3"/>
      <c r="S20" s="3"/>
    </row>
    <row r="21" spans="1:19" ht="15.75" thickBot="1" x14ac:dyDescent="0.3">
      <c r="A21" s="18" t="s">
        <v>10</v>
      </c>
      <c r="B21" s="19" t="s">
        <v>11</v>
      </c>
      <c r="C21" s="20" t="s">
        <v>12</v>
      </c>
      <c r="D21" s="21" t="s">
        <v>13</v>
      </c>
      <c r="E21" s="21" t="s">
        <v>14</v>
      </c>
      <c r="F21" s="21" t="s">
        <v>15</v>
      </c>
      <c r="G21" s="22" t="s">
        <v>16</v>
      </c>
      <c r="H21" s="23" t="s">
        <v>17</v>
      </c>
      <c r="I21" s="24" t="s">
        <v>18</v>
      </c>
      <c r="K21" s="11" t="s">
        <v>4</v>
      </c>
      <c r="L21" s="12"/>
      <c r="M21" s="13" t="s">
        <v>5</v>
      </c>
      <c r="N21" s="14" t="s">
        <v>6</v>
      </c>
      <c r="O21" s="14"/>
      <c r="P21" s="14"/>
      <c r="Q21" s="15" t="s">
        <v>7</v>
      </c>
      <c r="R21" s="16" t="s">
        <v>8</v>
      </c>
      <c r="S21" s="17" t="s">
        <v>9</v>
      </c>
    </row>
    <row r="22" spans="1:19" ht="15.75" thickBot="1" x14ac:dyDescent="0.3">
      <c r="A22" s="25"/>
      <c r="B22" s="26"/>
      <c r="C22" s="27"/>
      <c r="D22" s="28" t="s">
        <v>19</v>
      </c>
      <c r="E22" s="28" t="s">
        <v>20</v>
      </c>
      <c r="F22" s="28" t="s">
        <v>21</v>
      </c>
      <c r="G22" s="29" t="s">
        <v>22</v>
      </c>
      <c r="H22" s="228" t="s">
        <v>23</v>
      </c>
      <c r="I22" s="24" t="s">
        <v>24</v>
      </c>
      <c r="K22" s="18" t="s">
        <v>10</v>
      </c>
      <c r="L22" s="19" t="s">
        <v>11</v>
      </c>
      <c r="M22" s="20" t="s">
        <v>12</v>
      </c>
      <c r="N22" s="21" t="s">
        <v>13</v>
      </c>
      <c r="O22" s="21" t="s">
        <v>14</v>
      </c>
      <c r="P22" s="21" t="s">
        <v>15</v>
      </c>
      <c r="Q22" s="22" t="s">
        <v>16</v>
      </c>
      <c r="R22" s="23" t="s">
        <v>17</v>
      </c>
      <c r="S22" s="24" t="s">
        <v>18</v>
      </c>
    </row>
    <row r="23" spans="1:19" ht="15.75" thickBot="1" x14ac:dyDescent="0.3">
      <c r="A23" s="200" t="s">
        <v>26</v>
      </c>
      <c r="B23" s="527" t="s">
        <v>301</v>
      </c>
      <c r="C23" s="56" t="s">
        <v>315</v>
      </c>
      <c r="D23" s="127">
        <v>13.475</v>
      </c>
      <c r="E23" s="126">
        <v>23.998000000000001</v>
      </c>
      <c r="F23" s="127">
        <v>2.5499999999999998</v>
      </c>
      <c r="G23" s="140">
        <f t="shared" ref="G23" si="2">F23*4+E23*9+D23*4</f>
        <v>280.08199999999999</v>
      </c>
      <c r="H23" s="532">
        <v>10</v>
      </c>
      <c r="I23" s="49" t="s">
        <v>302</v>
      </c>
      <c r="K23" s="25"/>
      <c r="L23" s="26"/>
      <c r="M23" s="381"/>
      <c r="N23" s="28" t="s">
        <v>19</v>
      </c>
      <c r="O23" s="28" t="s">
        <v>20</v>
      </c>
      <c r="P23" s="28" t="s">
        <v>21</v>
      </c>
      <c r="Q23" s="29" t="s">
        <v>22</v>
      </c>
      <c r="R23" s="30" t="s">
        <v>23</v>
      </c>
      <c r="S23" s="31" t="s">
        <v>24</v>
      </c>
    </row>
    <row r="24" spans="1:19" x14ac:dyDescent="0.25">
      <c r="A24" s="47" t="s">
        <v>29</v>
      </c>
      <c r="B24" s="88" t="s">
        <v>303</v>
      </c>
      <c r="C24" s="533"/>
      <c r="D24" s="534">
        <v>1.857</v>
      </c>
      <c r="E24" s="535">
        <v>2.1309999999999998</v>
      </c>
      <c r="F24" s="534">
        <v>3.4340000000000002</v>
      </c>
      <c r="G24" s="150">
        <f>F24*4+E24*9+D24*4</f>
        <v>40.342999999999996</v>
      </c>
      <c r="H24" s="536"/>
      <c r="I24" s="536"/>
      <c r="K24" s="12"/>
      <c r="L24" s="527" t="s">
        <v>271</v>
      </c>
      <c r="M24" s="262" t="s">
        <v>272</v>
      </c>
      <c r="N24" s="528">
        <v>5.39</v>
      </c>
      <c r="O24" s="529">
        <v>3.41</v>
      </c>
      <c r="P24" s="529">
        <v>10.99</v>
      </c>
      <c r="Q24" s="530">
        <f t="shared" ref="Q24:Q30" si="3">P24*4+O24*9+N24*4</f>
        <v>96.210000000000008</v>
      </c>
      <c r="R24" s="531">
        <v>2</v>
      </c>
      <c r="S24" s="424" t="s">
        <v>63</v>
      </c>
    </row>
    <row r="25" spans="1:19" ht="15.75" x14ac:dyDescent="0.25">
      <c r="A25" s="50" t="s">
        <v>32</v>
      </c>
      <c r="B25" s="51" t="s">
        <v>30</v>
      </c>
      <c r="C25" s="41">
        <v>200</v>
      </c>
      <c r="D25" s="149">
        <v>4.5</v>
      </c>
      <c r="E25" s="96">
        <v>3.7</v>
      </c>
      <c r="F25" s="96">
        <v>19.600000000000001</v>
      </c>
      <c r="G25" s="150">
        <f>F25*4+E25*9+D25*4</f>
        <v>129.70000000000002</v>
      </c>
      <c r="H25" s="151">
        <v>30</v>
      </c>
      <c r="I25" s="53" t="s">
        <v>31</v>
      </c>
      <c r="K25" s="388" t="s">
        <v>26</v>
      </c>
      <c r="L25" s="527" t="s">
        <v>301</v>
      </c>
      <c r="M25" s="56" t="s">
        <v>131</v>
      </c>
      <c r="N25" s="127">
        <v>14.869</v>
      </c>
      <c r="O25" s="126">
        <v>26.48</v>
      </c>
      <c r="P25" s="127">
        <v>2.8140000000000001</v>
      </c>
      <c r="Q25" s="140">
        <f t="shared" si="3"/>
        <v>309.05200000000002</v>
      </c>
      <c r="R25" s="532">
        <v>26</v>
      </c>
      <c r="S25" s="49" t="s">
        <v>302</v>
      </c>
    </row>
    <row r="26" spans="1:19" x14ac:dyDescent="0.25">
      <c r="A26" s="54" t="s">
        <v>62</v>
      </c>
      <c r="B26" s="51" t="s">
        <v>256</v>
      </c>
      <c r="C26" s="41">
        <v>25</v>
      </c>
      <c r="D26" s="454">
        <v>1.0549999999999999</v>
      </c>
      <c r="E26" s="188">
        <v>0.437</v>
      </c>
      <c r="F26" s="188">
        <v>10</v>
      </c>
      <c r="G26" s="44">
        <f t="shared" ref="G26:G29" si="4">F26*4+E26*9+D26*4</f>
        <v>48.152999999999999</v>
      </c>
      <c r="H26" s="151">
        <v>23</v>
      </c>
      <c r="I26" s="53" t="s">
        <v>34</v>
      </c>
      <c r="K26" s="47" t="s">
        <v>29</v>
      </c>
      <c r="L26" s="88" t="s">
        <v>303</v>
      </c>
      <c r="M26" s="533"/>
      <c r="N26" s="534">
        <v>1.2350000000000001</v>
      </c>
      <c r="O26" s="535">
        <v>1.417</v>
      </c>
      <c r="P26" s="534">
        <v>2.286</v>
      </c>
      <c r="Q26" s="150">
        <f>P26*4+O26*9+N26*4</f>
        <v>26.837</v>
      </c>
      <c r="R26" s="536"/>
      <c r="S26" s="536"/>
    </row>
    <row r="27" spans="1:19" ht="15.75" x14ac:dyDescent="0.25">
      <c r="A27" s="77"/>
      <c r="B27" s="51" t="s">
        <v>33</v>
      </c>
      <c r="C27" s="41">
        <v>30</v>
      </c>
      <c r="D27" s="42">
        <v>1.575</v>
      </c>
      <c r="E27" s="43">
        <v>0.21299999999999999</v>
      </c>
      <c r="F27" s="235">
        <v>13.845000000000001</v>
      </c>
      <c r="G27" s="44">
        <f t="shared" si="4"/>
        <v>63.597000000000001</v>
      </c>
      <c r="H27" s="45">
        <v>24</v>
      </c>
      <c r="I27" s="53" t="s">
        <v>34</v>
      </c>
      <c r="K27" s="477" t="s">
        <v>32</v>
      </c>
      <c r="L27" s="88" t="s">
        <v>30</v>
      </c>
      <c r="M27" s="148">
        <v>200</v>
      </c>
      <c r="N27" s="149">
        <v>4.5</v>
      </c>
      <c r="O27" s="96">
        <v>3.7</v>
      </c>
      <c r="P27" s="96">
        <v>19.600000000000001</v>
      </c>
      <c r="Q27" s="150">
        <f t="shared" ref="Q27" si="5">P27*4+O27*9+N27*4</f>
        <v>129.70000000000002</v>
      </c>
      <c r="R27" s="151">
        <v>37</v>
      </c>
      <c r="S27" s="53" t="s">
        <v>31</v>
      </c>
    </row>
    <row r="28" spans="1:19" x14ac:dyDescent="0.25">
      <c r="A28" s="77"/>
      <c r="B28" s="51" t="s">
        <v>36</v>
      </c>
      <c r="C28" s="56">
        <v>30</v>
      </c>
      <c r="D28" s="57">
        <v>1.6950000000000001</v>
      </c>
      <c r="E28" s="58">
        <v>0.36</v>
      </c>
      <c r="F28" s="58">
        <v>12.555</v>
      </c>
      <c r="G28" s="59">
        <f t="shared" si="4"/>
        <v>60.24</v>
      </c>
      <c r="H28" s="48">
        <v>25</v>
      </c>
      <c r="I28" s="49" t="s">
        <v>34</v>
      </c>
      <c r="K28" s="47" t="s">
        <v>62</v>
      </c>
      <c r="L28" s="51" t="s">
        <v>33</v>
      </c>
      <c r="M28" s="41">
        <v>70</v>
      </c>
      <c r="N28" s="158">
        <v>3.57</v>
      </c>
      <c r="O28" s="43">
        <v>0.59499999999999997</v>
      </c>
      <c r="P28" s="43">
        <v>33.104999999999997</v>
      </c>
      <c r="Q28" s="159">
        <f t="shared" si="3"/>
        <v>152.05499999999998</v>
      </c>
      <c r="R28" s="537">
        <v>31.32</v>
      </c>
      <c r="S28" s="53" t="s">
        <v>34</v>
      </c>
    </row>
    <row r="29" spans="1:19" ht="15.75" thickBot="1" x14ac:dyDescent="0.3">
      <c r="A29" s="161"/>
      <c r="B29" s="551" t="s">
        <v>37</v>
      </c>
      <c r="C29" s="552">
        <v>150</v>
      </c>
      <c r="D29" s="63">
        <v>0.6</v>
      </c>
      <c r="E29" s="64">
        <v>0.6</v>
      </c>
      <c r="F29" s="65">
        <v>14.7</v>
      </c>
      <c r="G29" s="66">
        <f t="shared" si="4"/>
        <v>66.600000000000009</v>
      </c>
      <c r="H29" s="164">
        <v>26</v>
      </c>
      <c r="I29" s="165" t="s">
        <v>230</v>
      </c>
      <c r="K29" s="77"/>
      <c r="L29" s="51" t="s">
        <v>52</v>
      </c>
      <c r="M29" s="56">
        <v>40</v>
      </c>
      <c r="N29" s="488">
        <v>2.2599999999999998</v>
      </c>
      <c r="O29" s="385">
        <v>0.48</v>
      </c>
      <c r="P29" s="385">
        <v>16.739999999999998</v>
      </c>
      <c r="Q29" s="159">
        <f t="shared" si="3"/>
        <v>80.319999999999993</v>
      </c>
      <c r="R29" s="129">
        <v>32</v>
      </c>
      <c r="S29" s="53" t="s">
        <v>34</v>
      </c>
    </row>
    <row r="30" spans="1:19" ht="15.75" thickBot="1" x14ac:dyDescent="0.3">
      <c r="A30" s="101" t="s">
        <v>39</v>
      </c>
      <c r="B30" s="117"/>
      <c r="C30" s="553"/>
      <c r="D30" s="554">
        <f>SUM(D23:D29)</f>
        <v>24.757000000000001</v>
      </c>
      <c r="E30" s="550">
        <f>SUM(E23:E29)</f>
        <v>31.439000000000004</v>
      </c>
      <c r="F30" s="555">
        <f>SUM(F23:F29)</f>
        <v>76.683999999999997</v>
      </c>
      <c r="G30" s="550">
        <f>SUM(G23:G29)</f>
        <v>688.71500000000003</v>
      </c>
      <c r="H30" s="556" t="s">
        <v>40</v>
      </c>
      <c r="I30" s="557"/>
      <c r="K30" s="77"/>
      <c r="L30" s="236" t="s">
        <v>37</v>
      </c>
      <c r="M30" s="62">
        <v>160</v>
      </c>
      <c r="N30" s="162">
        <v>0.64</v>
      </c>
      <c r="O30" s="64">
        <v>0.64</v>
      </c>
      <c r="P30" s="65">
        <v>15.68</v>
      </c>
      <c r="Q30" s="140">
        <f t="shared" si="3"/>
        <v>71.040000000000006</v>
      </c>
      <c r="R30" s="538">
        <v>33</v>
      </c>
      <c r="S30" s="165" t="s">
        <v>230</v>
      </c>
    </row>
    <row r="31" spans="1:19" ht="15.75" thickBot="1" x14ac:dyDescent="0.3">
      <c r="A31" s="396" t="s">
        <v>56</v>
      </c>
      <c r="B31" s="316"/>
      <c r="C31" s="397"/>
      <c r="D31" s="524">
        <v>22.5</v>
      </c>
      <c r="E31" s="525">
        <v>23</v>
      </c>
      <c r="F31" s="525">
        <v>95.75</v>
      </c>
      <c r="G31" s="525">
        <v>680</v>
      </c>
      <c r="H31" s="401" t="s">
        <v>55</v>
      </c>
      <c r="I31" s="83">
        <f>C25+C26+C27+C28+C29+145+60</f>
        <v>640</v>
      </c>
      <c r="K31" s="101" t="s">
        <v>53</v>
      </c>
      <c r="L31" s="117"/>
      <c r="M31" s="392"/>
      <c r="N31" s="393">
        <f>SUM(N24:N30)</f>
        <v>32.463999999999999</v>
      </c>
      <c r="O31" s="394">
        <f>SUM(O24:O30)</f>
        <v>36.722000000000001</v>
      </c>
      <c r="P31" s="394">
        <f>SUM(P24:P30)</f>
        <v>101.21499999999997</v>
      </c>
      <c r="Q31" s="478">
        <f>SUM(Q24:Q30)</f>
        <v>865.21399999999994</v>
      </c>
      <c r="R31" s="107" t="s">
        <v>40</v>
      </c>
      <c r="S31" s="76"/>
    </row>
    <row r="32" spans="1:19" ht="15.75" thickBot="1" x14ac:dyDescent="0.3">
      <c r="C32" s="3"/>
      <c r="D32" s="3"/>
      <c r="E32" s="3"/>
      <c r="F32" s="3"/>
      <c r="G32" s="3"/>
      <c r="H32" s="3"/>
      <c r="I32" s="3"/>
      <c r="K32" s="396" t="s">
        <v>56</v>
      </c>
      <c r="L32" s="316"/>
      <c r="M32" s="397"/>
      <c r="N32" s="524">
        <v>31.5</v>
      </c>
      <c r="O32" s="525">
        <v>32.200000000000003</v>
      </c>
      <c r="P32" s="526">
        <v>134.05000000000001</v>
      </c>
      <c r="Q32" s="119">
        <v>952</v>
      </c>
      <c r="R32" s="401" t="s">
        <v>55</v>
      </c>
      <c r="S32" s="83">
        <f>M27+M28+M29+M30+200+50+160+40</f>
        <v>920</v>
      </c>
    </row>
    <row r="33" spans="1:19" ht="15.75" thickBot="1" x14ac:dyDescent="0.3">
      <c r="A33" s="11" t="s">
        <v>4</v>
      </c>
      <c r="B33" s="12"/>
      <c r="C33" s="13" t="s">
        <v>5</v>
      </c>
      <c r="D33" s="14" t="s">
        <v>6</v>
      </c>
      <c r="E33" s="14"/>
      <c r="F33" s="14"/>
      <c r="G33" s="15" t="s">
        <v>7</v>
      </c>
      <c r="H33" s="16" t="s">
        <v>8</v>
      </c>
      <c r="I33" s="17" t="s">
        <v>9</v>
      </c>
      <c r="M33" s="3"/>
      <c r="N33" s="3"/>
      <c r="O33" s="3"/>
      <c r="P33" s="3"/>
      <c r="Q33" s="3"/>
      <c r="R33" s="3"/>
      <c r="S33" s="3"/>
    </row>
    <row r="34" spans="1:19" ht="15.75" thickBot="1" x14ac:dyDescent="0.3">
      <c r="A34" s="18" t="s">
        <v>10</v>
      </c>
      <c r="B34" s="19" t="s">
        <v>11</v>
      </c>
      <c r="C34" s="20" t="s">
        <v>12</v>
      </c>
      <c r="D34" s="21" t="s">
        <v>13</v>
      </c>
      <c r="E34" s="21" t="s">
        <v>14</v>
      </c>
      <c r="F34" s="21" t="s">
        <v>15</v>
      </c>
      <c r="G34" s="22" t="s">
        <v>16</v>
      </c>
      <c r="H34" s="23" t="s">
        <v>17</v>
      </c>
      <c r="I34" s="24" t="s">
        <v>18</v>
      </c>
      <c r="K34" s="11" t="s">
        <v>4</v>
      </c>
      <c r="L34" s="12"/>
      <c r="M34" s="13" t="s">
        <v>5</v>
      </c>
      <c r="N34" s="14" t="s">
        <v>6</v>
      </c>
      <c r="O34" s="14"/>
      <c r="P34" s="14"/>
      <c r="Q34" s="15" t="s">
        <v>7</v>
      </c>
      <c r="R34" s="16" t="s">
        <v>8</v>
      </c>
      <c r="S34" s="17" t="s">
        <v>9</v>
      </c>
    </row>
    <row r="35" spans="1:19" ht="15.75" thickBot="1" x14ac:dyDescent="0.3">
      <c r="A35" s="402"/>
      <c r="B35" s="26"/>
      <c r="C35" s="381"/>
      <c r="D35" s="28" t="s">
        <v>19</v>
      </c>
      <c r="E35" s="28" t="s">
        <v>20</v>
      </c>
      <c r="F35" s="28" t="s">
        <v>21</v>
      </c>
      <c r="G35" s="29" t="s">
        <v>22</v>
      </c>
      <c r="H35" s="30" t="s">
        <v>23</v>
      </c>
      <c r="I35" s="31" t="s">
        <v>24</v>
      </c>
      <c r="K35" s="18" t="s">
        <v>10</v>
      </c>
      <c r="L35" s="19" t="s">
        <v>11</v>
      </c>
      <c r="M35" s="20" t="s">
        <v>12</v>
      </c>
      <c r="N35" s="21" t="s">
        <v>13</v>
      </c>
      <c r="O35" s="21" t="s">
        <v>14</v>
      </c>
      <c r="P35" s="21" t="s">
        <v>15</v>
      </c>
      <c r="Q35" s="22" t="s">
        <v>16</v>
      </c>
      <c r="R35" s="23" t="s">
        <v>17</v>
      </c>
      <c r="S35" s="24" t="s">
        <v>18</v>
      </c>
    </row>
    <row r="36" spans="1:19" ht="15.75" thickBot="1" x14ac:dyDescent="0.3">
      <c r="A36" s="200" t="s">
        <v>26</v>
      </c>
      <c r="B36" s="413" t="s">
        <v>79</v>
      </c>
      <c r="C36" s="33">
        <v>80</v>
      </c>
      <c r="D36" s="172">
        <v>1.333</v>
      </c>
      <c r="E36" s="43">
        <v>4</v>
      </c>
      <c r="F36" s="43">
        <v>6.2670000000000003</v>
      </c>
      <c r="G36" s="44">
        <f t="shared" ref="G36:G40" si="6">F36*4+E36*9+D36*4</f>
        <v>66.399999999999991</v>
      </c>
      <c r="H36" s="415">
        <v>4</v>
      </c>
      <c r="I36" s="416" t="s">
        <v>224</v>
      </c>
      <c r="K36" s="25"/>
      <c r="L36" s="26"/>
      <c r="M36" s="381"/>
      <c r="N36" s="28" t="s">
        <v>19</v>
      </c>
      <c r="O36" s="28" t="s">
        <v>20</v>
      </c>
      <c r="P36" s="28" t="s">
        <v>21</v>
      </c>
      <c r="Q36" s="29" t="s">
        <v>22</v>
      </c>
      <c r="R36" s="30" t="s">
        <v>23</v>
      </c>
      <c r="S36" s="31" t="s">
        <v>24</v>
      </c>
    </row>
    <row r="37" spans="1:19" x14ac:dyDescent="0.25">
      <c r="A37" s="47" t="s">
        <v>29</v>
      </c>
      <c r="B37" s="90" t="s">
        <v>81</v>
      </c>
      <c r="C37" s="41" t="s">
        <v>316</v>
      </c>
      <c r="D37" s="42">
        <v>14.736000000000001</v>
      </c>
      <c r="E37" s="43">
        <v>18.420999999999999</v>
      </c>
      <c r="F37" s="558">
        <v>17.72</v>
      </c>
      <c r="G37" s="44">
        <f t="shared" si="6"/>
        <v>295.613</v>
      </c>
      <c r="H37" s="177">
        <v>13</v>
      </c>
      <c r="I37" s="53" t="s">
        <v>82</v>
      </c>
      <c r="K37" s="200" t="s">
        <v>26</v>
      </c>
      <c r="L37" s="479" t="s">
        <v>77</v>
      </c>
      <c r="M37" s="33">
        <v>250</v>
      </c>
      <c r="N37" s="42">
        <v>4.4880000000000004</v>
      </c>
      <c r="O37" s="43">
        <v>7.25</v>
      </c>
      <c r="P37" s="43">
        <v>17.72</v>
      </c>
      <c r="Q37" s="98">
        <f t="shared" ref="Q37:Q38" si="7">P37*4+O37*9+N37*4</f>
        <v>154.08199999999999</v>
      </c>
      <c r="R37" s="37">
        <v>3</v>
      </c>
      <c r="S37" s="442" t="s">
        <v>78</v>
      </c>
    </row>
    <row r="38" spans="1:19" ht="15.75" x14ac:dyDescent="0.25">
      <c r="A38" s="50" t="s">
        <v>32</v>
      </c>
      <c r="B38" s="433" t="s">
        <v>70</v>
      </c>
      <c r="C38" s="41">
        <v>200</v>
      </c>
      <c r="D38" s="42">
        <v>0.66200000000000003</v>
      </c>
      <c r="E38" s="43">
        <v>0.09</v>
      </c>
      <c r="F38" s="43">
        <v>32.85</v>
      </c>
      <c r="G38" s="44">
        <f t="shared" si="6"/>
        <v>134.858</v>
      </c>
      <c r="H38" s="418">
        <v>28</v>
      </c>
      <c r="I38" s="53" t="s">
        <v>71</v>
      </c>
      <c r="K38" s="47" t="s">
        <v>29</v>
      </c>
      <c r="L38" s="433" t="s">
        <v>275</v>
      </c>
      <c r="M38" s="41" t="s">
        <v>304</v>
      </c>
      <c r="N38" s="42">
        <v>17.326000000000001</v>
      </c>
      <c r="O38" s="43">
        <v>19.898</v>
      </c>
      <c r="P38" s="176">
        <v>18.853999999999999</v>
      </c>
      <c r="Q38" s="44">
        <f t="shared" si="7"/>
        <v>323.80200000000002</v>
      </c>
      <c r="R38" s="177">
        <v>13</v>
      </c>
      <c r="S38" s="53" t="s">
        <v>82</v>
      </c>
    </row>
    <row r="39" spans="1:19" ht="15.75" x14ac:dyDescent="0.25">
      <c r="A39" s="54" t="s">
        <v>76</v>
      </c>
      <c r="B39" s="90" t="s">
        <v>33</v>
      </c>
      <c r="C39" s="41">
        <v>50</v>
      </c>
      <c r="D39" s="42">
        <v>2.5499999999999998</v>
      </c>
      <c r="E39" s="43">
        <v>0.42499999999999999</v>
      </c>
      <c r="F39" s="43">
        <v>23.074999999999999</v>
      </c>
      <c r="G39" s="44">
        <f>F39*4+E39*9+D39*4</f>
        <v>106.325</v>
      </c>
      <c r="H39" s="45">
        <v>24</v>
      </c>
      <c r="I39" s="53" t="s">
        <v>34</v>
      </c>
      <c r="K39" s="477" t="s">
        <v>32</v>
      </c>
      <c r="L39" s="51" t="s">
        <v>74</v>
      </c>
      <c r="M39" s="41">
        <v>200</v>
      </c>
      <c r="N39" s="42">
        <v>3.8</v>
      </c>
      <c r="O39" s="43">
        <v>3</v>
      </c>
      <c r="P39" s="43">
        <v>23</v>
      </c>
      <c r="Q39" s="44">
        <f>P39*4+O39*9+N39*4</f>
        <v>134.19999999999999</v>
      </c>
      <c r="R39" s="45">
        <v>36</v>
      </c>
      <c r="S39" s="53" t="s">
        <v>254</v>
      </c>
    </row>
    <row r="40" spans="1:19" ht="15.75" thickBot="1" x14ac:dyDescent="0.3">
      <c r="A40" s="77"/>
      <c r="B40" s="90" t="s">
        <v>36</v>
      </c>
      <c r="C40" s="56">
        <v>30</v>
      </c>
      <c r="D40" s="57">
        <v>1.6950000000000001</v>
      </c>
      <c r="E40" s="58">
        <v>0.36</v>
      </c>
      <c r="F40" s="58">
        <v>12.555</v>
      </c>
      <c r="G40" s="44">
        <f t="shared" si="6"/>
        <v>60.24</v>
      </c>
      <c r="H40" s="48">
        <v>25</v>
      </c>
      <c r="I40" s="49" t="s">
        <v>34</v>
      </c>
      <c r="K40" s="47" t="s">
        <v>76</v>
      </c>
      <c r="L40" s="51" t="s">
        <v>256</v>
      </c>
      <c r="M40" s="41">
        <v>25</v>
      </c>
      <c r="N40" s="454">
        <v>1.0549999999999999</v>
      </c>
      <c r="O40" s="188">
        <v>0.374</v>
      </c>
      <c r="P40" s="188">
        <v>8.51</v>
      </c>
      <c r="Q40" s="44">
        <f>P40*4+O40*9+N40*4</f>
        <v>41.625999999999998</v>
      </c>
      <c r="R40" s="151">
        <v>30</v>
      </c>
      <c r="S40" s="53" t="s">
        <v>34</v>
      </c>
    </row>
    <row r="41" spans="1:19" ht="15.75" thickBot="1" x14ac:dyDescent="0.3">
      <c r="A41" s="391" t="s">
        <v>39</v>
      </c>
      <c r="B41" s="117"/>
      <c r="C41" s="392"/>
      <c r="D41" s="428">
        <f>SUM(D36:D40)</f>
        <v>20.975999999999999</v>
      </c>
      <c r="E41" s="429">
        <f>SUM(E36:E40)</f>
        <v>23.295999999999999</v>
      </c>
      <c r="F41" s="429">
        <f>SUM(F36:F40)</f>
        <v>92.467000000000013</v>
      </c>
      <c r="G41" s="179">
        <f>SUM(G36:G40)</f>
        <v>663.43600000000004</v>
      </c>
      <c r="H41" s="395" t="s">
        <v>40</v>
      </c>
      <c r="I41" s="76"/>
      <c r="K41" s="77"/>
      <c r="L41" s="433" t="s">
        <v>33</v>
      </c>
      <c r="M41" s="41">
        <v>70</v>
      </c>
      <c r="N41" s="158">
        <v>3.57</v>
      </c>
      <c r="O41" s="43">
        <v>0.59499999999999997</v>
      </c>
      <c r="P41" s="43">
        <v>33.104999999999997</v>
      </c>
      <c r="Q41" s="159">
        <f t="shared" ref="Q41:Q43" si="8">P41*4+O41*9+N41*4</f>
        <v>152.05499999999998</v>
      </c>
      <c r="R41" s="45">
        <v>31</v>
      </c>
      <c r="S41" s="53" t="s">
        <v>34</v>
      </c>
    </row>
    <row r="42" spans="1:19" ht="15.75" thickBot="1" x14ac:dyDescent="0.3">
      <c r="A42" s="396" t="s">
        <v>56</v>
      </c>
      <c r="B42" s="316"/>
      <c r="C42" s="397"/>
      <c r="D42" s="524">
        <v>22.5</v>
      </c>
      <c r="E42" s="525">
        <v>23</v>
      </c>
      <c r="F42" s="525">
        <v>95.75</v>
      </c>
      <c r="G42" s="525">
        <v>680</v>
      </c>
      <c r="H42" s="401" t="s">
        <v>55</v>
      </c>
      <c r="I42" s="83">
        <f>C36+C38+C39+C40+53+147</f>
        <v>560</v>
      </c>
      <c r="K42" s="77"/>
      <c r="L42" s="433" t="s">
        <v>52</v>
      </c>
      <c r="M42" s="56">
        <v>40</v>
      </c>
      <c r="N42" s="488">
        <v>2.2599999999999998</v>
      </c>
      <c r="O42" s="385">
        <v>0.48</v>
      </c>
      <c r="P42" s="385">
        <v>16.739999999999998</v>
      </c>
      <c r="Q42" s="44">
        <f t="shared" si="8"/>
        <v>80.319999999999993</v>
      </c>
      <c r="R42" s="48">
        <v>32</v>
      </c>
      <c r="S42" s="49" t="s">
        <v>34</v>
      </c>
    </row>
    <row r="43" spans="1:19" ht="15.75" thickBot="1" x14ac:dyDescent="0.3">
      <c r="C43" s="3"/>
      <c r="D43" s="3"/>
      <c r="E43" s="3"/>
      <c r="F43" s="3"/>
      <c r="G43" s="3"/>
      <c r="H43" s="3"/>
      <c r="I43" s="3"/>
      <c r="K43" s="161"/>
      <c r="L43" s="236" t="s">
        <v>37</v>
      </c>
      <c r="M43" s="62">
        <v>160</v>
      </c>
      <c r="N43" s="162">
        <v>0.64</v>
      </c>
      <c r="O43" s="64">
        <v>0.64</v>
      </c>
      <c r="P43" s="65">
        <v>15.68</v>
      </c>
      <c r="Q43" s="140">
        <f t="shared" si="8"/>
        <v>71.040000000000006</v>
      </c>
      <c r="R43" s="48">
        <v>33</v>
      </c>
      <c r="S43" s="165" t="s">
        <v>230</v>
      </c>
    </row>
    <row r="44" spans="1:19" ht="15.75" thickBot="1" x14ac:dyDescent="0.3">
      <c r="C44" s="3"/>
      <c r="D44" s="3"/>
      <c r="E44" s="3"/>
      <c r="F44" s="3"/>
      <c r="G44" s="3"/>
      <c r="H44" s="3"/>
      <c r="I44" s="3"/>
      <c r="K44" s="101" t="s">
        <v>53</v>
      </c>
      <c r="L44" s="117"/>
      <c r="M44" s="392"/>
      <c r="N44" s="393">
        <f>SUM(N37:N43)</f>
        <v>33.139000000000003</v>
      </c>
      <c r="O44" s="394">
        <f>SUM(O37:O43)</f>
        <v>32.236999999999995</v>
      </c>
      <c r="P44" s="394">
        <f>SUM(P37:P43)</f>
        <v>133.60899999999998</v>
      </c>
      <c r="Q44" s="478">
        <f>SUM(Q37:Q43)</f>
        <v>957.125</v>
      </c>
      <c r="R44" s="107" t="s">
        <v>40</v>
      </c>
      <c r="S44" s="76"/>
    </row>
    <row r="45" spans="1:19" ht="15.75" thickBot="1" x14ac:dyDescent="0.3">
      <c r="A45" s="11" t="s">
        <v>4</v>
      </c>
      <c r="B45" s="12"/>
      <c r="C45" s="13" t="s">
        <v>5</v>
      </c>
      <c r="D45" s="14" t="s">
        <v>6</v>
      </c>
      <c r="E45" s="14"/>
      <c r="F45" s="14"/>
      <c r="G45" s="15" t="s">
        <v>7</v>
      </c>
      <c r="H45" s="16" t="s">
        <v>8</v>
      </c>
      <c r="I45" s="17" t="s">
        <v>9</v>
      </c>
      <c r="K45" s="396" t="s">
        <v>56</v>
      </c>
      <c r="L45" s="316"/>
      <c r="M45" s="397"/>
      <c r="N45" s="524">
        <v>31.5</v>
      </c>
      <c r="O45" s="525">
        <v>32.200000000000003</v>
      </c>
      <c r="P45" s="526">
        <v>134.05000000000001</v>
      </c>
      <c r="Q45" s="119">
        <v>952</v>
      </c>
      <c r="R45" s="401" t="s">
        <v>55</v>
      </c>
      <c r="S45" s="83">
        <f>M37+M39+M40+M41+M42+M43+64+121</f>
        <v>930</v>
      </c>
    </row>
    <row r="46" spans="1:19" ht="15.75" thickBot="1" x14ac:dyDescent="0.3">
      <c r="A46" s="18" t="s">
        <v>10</v>
      </c>
      <c r="B46" s="19" t="s">
        <v>11</v>
      </c>
      <c r="C46" s="20" t="s">
        <v>12</v>
      </c>
      <c r="D46" s="21" t="s">
        <v>13</v>
      </c>
      <c r="E46" s="21" t="s">
        <v>14</v>
      </c>
      <c r="F46" s="21" t="s">
        <v>15</v>
      </c>
      <c r="G46" s="22" t="s">
        <v>16</v>
      </c>
      <c r="H46" s="23" t="s">
        <v>17</v>
      </c>
      <c r="I46" s="24" t="s">
        <v>18</v>
      </c>
      <c r="M46" s="3"/>
      <c r="N46" s="3"/>
      <c r="O46" s="3"/>
      <c r="P46" s="3"/>
      <c r="Q46" s="3"/>
      <c r="R46" s="3"/>
      <c r="S46" s="3"/>
    </row>
    <row r="47" spans="1:19" ht="15.75" thickBot="1" x14ac:dyDescent="0.3">
      <c r="A47" s="402"/>
      <c r="B47" s="26"/>
      <c r="C47" s="381"/>
      <c r="D47" s="28" t="s">
        <v>19</v>
      </c>
      <c r="E47" s="28" t="s">
        <v>20</v>
      </c>
      <c r="F47" s="28" t="s">
        <v>21</v>
      </c>
      <c r="G47" s="29" t="s">
        <v>22</v>
      </c>
      <c r="H47" s="30" t="s">
        <v>23</v>
      </c>
      <c r="I47" s="31" t="s">
        <v>24</v>
      </c>
      <c r="K47" s="11" t="s">
        <v>4</v>
      </c>
      <c r="L47" s="12"/>
      <c r="M47" s="13" t="s">
        <v>5</v>
      </c>
      <c r="N47" s="14" t="s">
        <v>6</v>
      </c>
      <c r="O47" s="14"/>
      <c r="P47" s="14"/>
      <c r="Q47" s="15" t="s">
        <v>7</v>
      </c>
      <c r="R47" s="16" t="s">
        <v>8</v>
      </c>
      <c r="S47" s="17" t="s">
        <v>9</v>
      </c>
    </row>
    <row r="48" spans="1:19" x14ac:dyDescent="0.25">
      <c r="A48" s="200" t="s">
        <v>26</v>
      </c>
      <c r="B48" s="422" t="s">
        <v>225</v>
      </c>
      <c r="C48" s="262" t="s">
        <v>317</v>
      </c>
      <c r="D48" s="559">
        <v>27.395</v>
      </c>
      <c r="E48" s="560">
        <v>19.52</v>
      </c>
      <c r="F48" s="559">
        <v>29.29</v>
      </c>
      <c r="G48" s="265">
        <f t="shared" ref="G48" si="9">F48*4+E48*9+D48*4</f>
        <v>402.42</v>
      </c>
      <c r="H48" s="123">
        <v>11</v>
      </c>
      <c r="I48" s="424" t="s">
        <v>227</v>
      </c>
      <c r="K48" s="18" t="s">
        <v>10</v>
      </c>
      <c r="L48" s="19" t="s">
        <v>11</v>
      </c>
      <c r="M48" s="20" t="s">
        <v>12</v>
      </c>
      <c r="N48" s="21" t="s">
        <v>13</v>
      </c>
      <c r="O48" s="21" t="s">
        <v>14</v>
      </c>
      <c r="P48" s="21" t="s">
        <v>15</v>
      </c>
      <c r="Q48" s="22" t="s">
        <v>16</v>
      </c>
      <c r="R48" s="23" t="s">
        <v>17</v>
      </c>
      <c r="S48" s="24" t="s">
        <v>18</v>
      </c>
    </row>
    <row r="49" spans="1:19" ht="15.75" thickBot="1" x14ac:dyDescent="0.3">
      <c r="A49" s="47" t="s">
        <v>29</v>
      </c>
      <c r="B49" s="136" t="s">
        <v>228</v>
      </c>
      <c r="C49" s="292"/>
      <c r="D49" s="156"/>
      <c r="E49" s="96"/>
      <c r="F49" s="97"/>
      <c r="G49" s="150"/>
      <c r="H49" s="425"/>
      <c r="I49" s="100"/>
      <c r="K49" s="25"/>
      <c r="L49" s="26"/>
      <c r="M49" s="381"/>
      <c r="N49" s="28" t="s">
        <v>19</v>
      </c>
      <c r="O49" s="28" t="s">
        <v>20</v>
      </c>
      <c r="P49" s="28" t="s">
        <v>21</v>
      </c>
      <c r="Q49" s="29" t="s">
        <v>22</v>
      </c>
      <c r="R49" s="30" t="s">
        <v>23</v>
      </c>
      <c r="S49" s="31" t="s">
        <v>24</v>
      </c>
    </row>
    <row r="50" spans="1:19" ht="15.75" x14ac:dyDescent="0.25">
      <c r="A50" s="50" t="s">
        <v>32</v>
      </c>
      <c r="B50" s="90" t="s">
        <v>60</v>
      </c>
      <c r="C50" s="41">
        <v>200</v>
      </c>
      <c r="D50" s="158">
        <v>7.0000000000000007E-2</v>
      </c>
      <c r="E50" s="43">
        <v>0.02</v>
      </c>
      <c r="F50" s="43">
        <v>15</v>
      </c>
      <c r="G50" s="44">
        <f t="shared" ref="G50:G53" si="10">F50*4+E50*9+D50*4</f>
        <v>60.46</v>
      </c>
      <c r="H50" s="45">
        <v>32</v>
      </c>
      <c r="I50" s="53" t="s">
        <v>61</v>
      </c>
      <c r="K50" s="200" t="s">
        <v>26</v>
      </c>
      <c r="L50" s="484" t="s">
        <v>72</v>
      </c>
      <c r="M50" s="33">
        <v>250</v>
      </c>
      <c r="N50" s="187">
        <v>8.3000000000000007</v>
      </c>
      <c r="O50" s="188">
        <v>5.8979999999999997</v>
      </c>
      <c r="P50" s="188">
        <v>25.5</v>
      </c>
      <c r="Q50" s="140">
        <f>P50*4+O50*9+N50*4</f>
        <v>188.28199999999998</v>
      </c>
      <c r="R50" s="230">
        <v>4</v>
      </c>
      <c r="S50" s="387" t="s">
        <v>73</v>
      </c>
    </row>
    <row r="51" spans="1:19" x14ac:dyDescent="0.25">
      <c r="A51" s="54" t="s">
        <v>229</v>
      </c>
      <c r="B51" s="90" t="s">
        <v>111</v>
      </c>
      <c r="C51" s="41">
        <v>20</v>
      </c>
      <c r="D51" s="158">
        <v>5.3280000000000003</v>
      </c>
      <c r="E51" s="43">
        <v>4.5960000000000001</v>
      </c>
      <c r="F51" s="43">
        <v>0</v>
      </c>
      <c r="G51" s="159">
        <f t="shared" si="10"/>
        <v>62.676000000000002</v>
      </c>
      <c r="H51" s="151">
        <v>22</v>
      </c>
      <c r="I51" s="234" t="s">
        <v>112</v>
      </c>
      <c r="K51" s="47" t="s">
        <v>29</v>
      </c>
      <c r="L51" s="181" t="s">
        <v>225</v>
      </c>
      <c r="M51" s="56" t="s">
        <v>305</v>
      </c>
      <c r="N51" s="182">
        <v>27.085000000000001</v>
      </c>
      <c r="O51" s="58">
        <v>25.164999999999999</v>
      </c>
      <c r="P51" s="182">
        <v>54.11</v>
      </c>
      <c r="Q51" s="140">
        <f t="shared" ref="Q51" si="11">P51*4+O51*9+N51*4</f>
        <v>551.26499999999999</v>
      </c>
      <c r="R51" s="129">
        <v>27</v>
      </c>
      <c r="S51" s="49" t="s">
        <v>227</v>
      </c>
    </row>
    <row r="52" spans="1:19" ht="15.75" x14ac:dyDescent="0.25">
      <c r="A52" s="77"/>
      <c r="B52" s="90" t="s">
        <v>33</v>
      </c>
      <c r="C52" s="89">
        <v>30</v>
      </c>
      <c r="D52" s="42">
        <v>1.575</v>
      </c>
      <c r="E52" s="43">
        <v>0.21299999999999999</v>
      </c>
      <c r="F52" s="43">
        <v>13.845000000000001</v>
      </c>
      <c r="G52" s="159">
        <f t="shared" si="10"/>
        <v>63.597000000000001</v>
      </c>
      <c r="H52" s="151">
        <v>24</v>
      </c>
      <c r="I52" s="53" t="s">
        <v>34</v>
      </c>
      <c r="K52" s="477" t="s">
        <v>32</v>
      </c>
      <c r="L52" s="136" t="s">
        <v>228</v>
      </c>
      <c r="M52" s="292"/>
      <c r="N52" s="156"/>
      <c r="O52" s="96"/>
      <c r="P52" s="97"/>
      <c r="Q52" s="150"/>
      <c r="R52" s="425"/>
      <c r="S52" s="100"/>
    </row>
    <row r="53" spans="1:19" ht="15.75" thickBot="1" x14ac:dyDescent="0.3">
      <c r="A53" s="161"/>
      <c r="B53" s="551" t="s">
        <v>37</v>
      </c>
      <c r="C53" s="62">
        <v>150</v>
      </c>
      <c r="D53" s="63">
        <v>0.6</v>
      </c>
      <c r="E53" s="64">
        <v>0.6</v>
      </c>
      <c r="F53" s="65">
        <v>14.7</v>
      </c>
      <c r="G53" s="66">
        <f t="shared" si="10"/>
        <v>66.600000000000009</v>
      </c>
      <c r="H53" s="164">
        <v>26</v>
      </c>
      <c r="I53" s="49" t="s">
        <v>230</v>
      </c>
      <c r="K53" s="47" t="s">
        <v>87</v>
      </c>
      <c r="L53" s="90" t="s">
        <v>30</v>
      </c>
      <c r="M53" s="41">
        <v>200</v>
      </c>
      <c r="N53" s="149">
        <v>4.5</v>
      </c>
      <c r="O53" s="96">
        <v>3.7</v>
      </c>
      <c r="P53" s="96">
        <v>19.600000000000001</v>
      </c>
      <c r="Q53" s="150">
        <f t="shared" ref="Q53:Q56" si="12">P53*4+O53*9+N53*4</f>
        <v>129.70000000000002</v>
      </c>
      <c r="R53" s="151">
        <v>37</v>
      </c>
      <c r="S53" s="53" t="s">
        <v>31</v>
      </c>
    </row>
    <row r="54" spans="1:19" ht="15.75" thickBot="1" x14ac:dyDescent="0.3">
      <c r="A54" s="391" t="s">
        <v>39</v>
      </c>
      <c r="B54" s="102"/>
      <c r="C54" s="109"/>
      <c r="D54" s="428">
        <f>SUM(D48:D53)</f>
        <v>34.968000000000004</v>
      </c>
      <c r="E54" s="429">
        <f>SUM(E48:E53)</f>
        <v>24.949000000000002</v>
      </c>
      <c r="F54" s="429">
        <f>SUM(F48:F53)</f>
        <v>72.834999999999994</v>
      </c>
      <c r="G54" s="179">
        <f>SUM(G48:G53)</f>
        <v>655.75300000000004</v>
      </c>
      <c r="H54" s="395" t="s">
        <v>40</v>
      </c>
      <c r="I54" s="76"/>
      <c r="K54" s="77"/>
      <c r="L54" s="90" t="s">
        <v>111</v>
      </c>
      <c r="M54" s="41">
        <v>30</v>
      </c>
      <c r="N54" s="158">
        <v>6.48</v>
      </c>
      <c r="O54" s="43">
        <v>5.1840000000000002</v>
      </c>
      <c r="P54" s="43">
        <v>0</v>
      </c>
      <c r="Q54" s="159">
        <f t="shared" si="12"/>
        <v>72.575999999999993</v>
      </c>
      <c r="R54" s="151">
        <v>29</v>
      </c>
      <c r="S54" s="234" t="s">
        <v>112</v>
      </c>
    </row>
    <row r="55" spans="1:19" ht="15.75" thickBot="1" x14ac:dyDescent="0.3">
      <c r="A55" s="396" t="s">
        <v>56</v>
      </c>
      <c r="B55" s="116"/>
      <c r="C55" s="117"/>
      <c r="D55" s="524">
        <v>22.5</v>
      </c>
      <c r="E55" s="525">
        <v>23</v>
      </c>
      <c r="F55" s="525">
        <v>95.75</v>
      </c>
      <c r="G55" s="525">
        <v>680</v>
      </c>
      <c r="H55" s="401" t="s">
        <v>55</v>
      </c>
      <c r="I55" s="83">
        <f>C50+C51+C52+C53+190+20</f>
        <v>610</v>
      </c>
      <c r="K55" s="77"/>
      <c r="L55" s="51" t="s">
        <v>33</v>
      </c>
      <c r="M55" s="41">
        <v>60</v>
      </c>
      <c r="N55" s="158">
        <v>3.06</v>
      </c>
      <c r="O55" s="43">
        <v>0.51</v>
      </c>
      <c r="P55" s="43">
        <v>30.09</v>
      </c>
      <c r="Q55" s="159">
        <f t="shared" si="12"/>
        <v>137.19</v>
      </c>
      <c r="R55" s="151">
        <v>31</v>
      </c>
      <c r="S55" s="53" t="s">
        <v>34</v>
      </c>
    </row>
    <row r="56" spans="1:19" ht="15.75" thickBot="1" x14ac:dyDescent="0.3">
      <c r="C56" s="3"/>
      <c r="D56" s="3"/>
      <c r="E56" s="3"/>
      <c r="F56" s="3"/>
      <c r="G56" s="3"/>
      <c r="H56" s="3"/>
      <c r="I56" s="3"/>
      <c r="K56" s="161"/>
      <c r="L56" s="51" t="s">
        <v>52</v>
      </c>
      <c r="M56" s="62">
        <v>30</v>
      </c>
      <c r="N56" s="158">
        <v>1.6950000000000001</v>
      </c>
      <c r="O56" s="43">
        <v>0.36</v>
      </c>
      <c r="P56" s="43">
        <v>12.55</v>
      </c>
      <c r="Q56" s="159">
        <f t="shared" si="12"/>
        <v>60.220000000000006</v>
      </c>
      <c r="R56" s="164">
        <v>32</v>
      </c>
      <c r="S56" s="165" t="s">
        <v>34</v>
      </c>
    </row>
    <row r="57" spans="1:19" ht="15.75" thickBot="1" x14ac:dyDescent="0.3">
      <c r="C57" s="3"/>
      <c r="D57" s="3"/>
      <c r="E57" s="3"/>
      <c r="F57" s="3"/>
      <c r="G57" s="3"/>
      <c r="H57" s="3"/>
      <c r="I57" s="3"/>
      <c r="K57" s="101" t="s">
        <v>53</v>
      </c>
      <c r="L57" s="117"/>
      <c r="M57" s="109"/>
      <c r="N57" s="428">
        <f>SUM(N50:N56)</f>
        <v>51.120000000000012</v>
      </c>
      <c r="O57" s="429">
        <f>SUM(O50:O56)</f>
        <v>40.816999999999993</v>
      </c>
      <c r="P57" s="429">
        <f>SUM(P50:P56)</f>
        <v>141.85000000000002</v>
      </c>
      <c r="Q57" s="487">
        <f>SUM(Q50:Q56)</f>
        <v>1139.2330000000002</v>
      </c>
      <c r="R57" s="107" t="s">
        <v>40</v>
      </c>
      <c r="S57" s="76"/>
    </row>
    <row r="58" spans="1:19" ht="15.75" thickBot="1" x14ac:dyDescent="0.3">
      <c r="A58" s="1"/>
      <c r="B58" s="1" t="s">
        <v>313</v>
      </c>
      <c r="C58" s="3"/>
      <c r="D58" s="3"/>
      <c r="E58" s="3"/>
      <c r="F58" s="3"/>
      <c r="G58" s="3"/>
      <c r="H58" s="3"/>
      <c r="I58" s="5">
        <v>0.25</v>
      </c>
      <c r="K58" s="396" t="s">
        <v>56</v>
      </c>
      <c r="L58" s="316"/>
      <c r="M58" s="117"/>
      <c r="N58" s="524">
        <v>31.5</v>
      </c>
      <c r="O58" s="525">
        <v>32.200000000000003</v>
      </c>
      <c r="P58" s="526">
        <v>134.05000000000001</v>
      </c>
      <c r="Q58" s="119">
        <v>952</v>
      </c>
      <c r="R58" s="401" t="s">
        <v>55</v>
      </c>
      <c r="S58" s="83">
        <f>M50+M53+M54+M55+M56+210+15</f>
        <v>795</v>
      </c>
    </row>
    <row r="59" spans="1:19" ht="15.75" x14ac:dyDescent="0.25">
      <c r="C59" s="371" t="s">
        <v>214</v>
      </c>
      <c r="D59" s="3"/>
      <c r="E59" s="3"/>
      <c r="F59" s="3"/>
      <c r="G59" s="3"/>
      <c r="H59" s="3"/>
      <c r="I59" s="3"/>
      <c r="M59" s="3"/>
      <c r="N59" s="3"/>
      <c r="O59" s="3"/>
      <c r="P59" s="3"/>
      <c r="Q59" s="3"/>
      <c r="R59" s="3"/>
      <c r="S59" s="3"/>
    </row>
    <row r="60" spans="1:19" ht="15.75" thickBot="1" x14ac:dyDescent="0.3">
      <c r="A60" s="248" t="s">
        <v>314</v>
      </c>
      <c r="C60" s="3"/>
      <c r="D60" s="3"/>
      <c r="E60" s="3"/>
      <c r="F60" s="372" t="s">
        <v>2</v>
      </c>
      <c r="G60" s="4" t="s">
        <v>216</v>
      </c>
      <c r="H60" s="4"/>
      <c r="I60" s="4"/>
      <c r="L60" s="224" t="s">
        <v>265</v>
      </c>
      <c r="P60" s="3"/>
      <c r="R60" s="3"/>
      <c r="S60" s="5">
        <v>0.35</v>
      </c>
    </row>
    <row r="61" spans="1:19" ht="15.75" thickBot="1" x14ac:dyDescent="0.3">
      <c r="A61" s="11" t="s">
        <v>4</v>
      </c>
      <c r="B61" s="12"/>
      <c r="C61" s="13" t="s">
        <v>5</v>
      </c>
      <c r="D61" s="14" t="s">
        <v>6</v>
      </c>
      <c r="E61" s="14"/>
      <c r="F61" s="14"/>
      <c r="G61" s="15" t="s">
        <v>7</v>
      </c>
      <c r="H61" s="16" t="s">
        <v>8</v>
      </c>
      <c r="I61" s="17" t="s">
        <v>9</v>
      </c>
      <c r="L61" s="2" t="s">
        <v>266</v>
      </c>
      <c r="M61" s="3"/>
      <c r="P61" s="2"/>
      <c r="Q61" s="2"/>
      <c r="R61" s="4"/>
      <c r="S61" s="4"/>
    </row>
    <row r="62" spans="1:19" ht="15.75" x14ac:dyDescent="0.25">
      <c r="A62" s="18" t="s">
        <v>10</v>
      </c>
      <c r="B62" s="19" t="s">
        <v>11</v>
      </c>
      <c r="C62" s="20" t="s">
        <v>12</v>
      </c>
      <c r="D62" s="21" t="s">
        <v>13</v>
      </c>
      <c r="E62" s="21" t="s">
        <v>14</v>
      </c>
      <c r="F62" s="21" t="s">
        <v>15</v>
      </c>
      <c r="G62" s="22" t="s">
        <v>16</v>
      </c>
      <c r="H62" s="23" t="s">
        <v>17</v>
      </c>
      <c r="I62" s="24" t="s">
        <v>18</v>
      </c>
      <c r="K62" s="9" t="s">
        <v>215</v>
      </c>
      <c r="L62" s="4"/>
      <c r="N62" s="3"/>
      <c r="O62" s="9" t="s">
        <v>2</v>
      </c>
      <c r="P62" s="3"/>
      <c r="Q62" s="10" t="s">
        <v>267</v>
      </c>
      <c r="R62" s="4"/>
      <c r="S62" s="4"/>
    </row>
    <row r="63" spans="1:19" ht="21.75" thickBot="1" x14ac:dyDescent="0.4">
      <c r="A63" s="402"/>
      <c r="B63" s="26"/>
      <c r="C63" s="381"/>
      <c r="D63" s="28" t="s">
        <v>19</v>
      </c>
      <c r="E63" s="28" t="s">
        <v>20</v>
      </c>
      <c r="F63" s="28" t="s">
        <v>21</v>
      </c>
      <c r="G63" s="29" t="s">
        <v>22</v>
      </c>
      <c r="H63" s="30" t="s">
        <v>23</v>
      </c>
      <c r="I63" s="31" t="s">
        <v>24</v>
      </c>
      <c r="M63" s="373" t="s">
        <v>1</v>
      </c>
      <c r="N63" s="3"/>
      <c r="O63" s="3"/>
      <c r="P63" s="3"/>
      <c r="Q63" s="2"/>
      <c r="R63" s="4"/>
      <c r="S63" s="4"/>
    </row>
    <row r="64" spans="1:19" ht="15.75" thickBot="1" x14ac:dyDescent="0.3">
      <c r="A64" s="200" t="s">
        <v>26</v>
      </c>
      <c r="B64" s="433" t="s">
        <v>232</v>
      </c>
      <c r="C64" s="431" t="s">
        <v>318</v>
      </c>
      <c r="D64" s="187">
        <v>13.042999999999999</v>
      </c>
      <c r="E64" s="92">
        <v>14.757999999999999</v>
      </c>
      <c r="F64" s="438">
        <v>16.547999999999998</v>
      </c>
      <c r="G64" s="44">
        <f t="shared" ref="G64:G65" si="13">F64*4+E64*9+D64*4</f>
        <v>251.18600000000001</v>
      </c>
      <c r="H64" s="432">
        <v>21</v>
      </c>
      <c r="I64" s="387" t="s">
        <v>105</v>
      </c>
      <c r="K64" s="11" t="s">
        <v>4</v>
      </c>
      <c r="L64" s="12"/>
      <c r="M64" s="13" t="s">
        <v>5</v>
      </c>
      <c r="N64" s="14" t="s">
        <v>6</v>
      </c>
      <c r="O64" s="14"/>
      <c r="P64" s="14"/>
      <c r="Q64" s="15" t="s">
        <v>7</v>
      </c>
      <c r="R64" s="16" t="s">
        <v>8</v>
      </c>
      <c r="S64" s="17" t="s">
        <v>9</v>
      </c>
    </row>
    <row r="65" spans="1:19" x14ac:dyDescent="0.25">
      <c r="A65" s="47" t="s">
        <v>29</v>
      </c>
      <c r="B65" s="259" t="s">
        <v>50</v>
      </c>
      <c r="C65" s="439">
        <v>200</v>
      </c>
      <c r="D65" s="42">
        <v>1</v>
      </c>
      <c r="E65" s="43">
        <v>0</v>
      </c>
      <c r="F65" s="43">
        <v>20.92</v>
      </c>
      <c r="G65" s="159">
        <f t="shared" si="13"/>
        <v>87.68</v>
      </c>
      <c r="H65" s="45">
        <v>27</v>
      </c>
      <c r="I65" s="53" t="s">
        <v>51</v>
      </c>
      <c r="K65" s="18" t="s">
        <v>10</v>
      </c>
      <c r="L65" s="19" t="s">
        <v>11</v>
      </c>
      <c r="M65" s="20" t="s">
        <v>12</v>
      </c>
      <c r="N65" s="21" t="s">
        <v>13</v>
      </c>
      <c r="O65" s="21" t="s">
        <v>14</v>
      </c>
      <c r="P65" s="21" t="s">
        <v>15</v>
      </c>
      <c r="Q65" s="22" t="s">
        <v>16</v>
      </c>
      <c r="R65" s="23" t="s">
        <v>17</v>
      </c>
      <c r="S65" s="24" t="s">
        <v>18</v>
      </c>
    </row>
    <row r="66" spans="1:19" ht="16.5" thickBot="1" x14ac:dyDescent="0.3">
      <c r="A66" s="50" t="s">
        <v>32</v>
      </c>
      <c r="B66" s="90" t="s">
        <v>33</v>
      </c>
      <c r="C66" s="41">
        <v>50</v>
      </c>
      <c r="D66" s="42">
        <v>2.5499999999999998</v>
      </c>
      <c r="E66" s="43">
        <v>0.42499999999999999</v>
      </c>
      <c r="F66" s="43">
        <v>23.074999999999999</v>
      </c>
      <c r="G66" s="44">
        <f>F66*4+E66*9+D66*4</f>
        <v>106.325</v>
      </c>
      <c r="H66" s="45">
        <v>24</v>
      </c>
      <c r="I66" s="53" t="s">
        <v>34</v>
      </c>
      <c r="K66" s="25"/>
      <c r="L66" s="26"/>
      <c r="M66" s="381"/>
      <c r="N66" s="28" t="s">
        <v>19</v>
      </c>
      <c r="O66" s="28" t="s">
        <v>20</v>
      </c>
      <c r="P66" s="28" t="s">
        <v>21</v>
      </c>
      <c r="Q66" s="29" t="s">
        <v>22</v>
      </c>
      <c r="R66" s="30" t="s">
        <v>23</v>
      </c>
      <c r="S66" s="31" t="s">
        <v>24</v>
      </c>
    </row>
    <row r="67" spans="1:19" x14ac:dyDescent="0.25">
      <c r="A67" s="54" t="s">
        <v>236</v>
      </c>
      <c r="B67" s="90" t="s">
        <v>36</v>
      </c>
      <c r="C67" s="56">
        <v>30</v>
      </c>
      <c r="D67" s="57">
        <v>1.6950000000000001</v>
      </c>
      <c r="E67" s="58">
        <v>0.36</v>
      </c>
      <c r="F67" s="58">
        <v>12.555</v>
      </c>
      <c r="G67" s="159">
        <f>F67*4+E67*9+D67*4</f>
        <v>60.24</v>
      </c>
      <c r="H67" s="48">
        <v>25</v>
      </c>
      <c r="I67" s="53" t="s">
        <v>34</v>
      </c>
      <c r="K67" s="200" t="s">
        <v>26</v>
      </c>
      <c r="L67" s="433" t="s">
        <v>102</v>
      </c>
      <c r="M67" s="33">
        <v>250</v>
      </c>
      <c r="N67" s="158">
        <v>7.49</v>
      </c>
      <c r="O67" s="43">
        <v>7.01</v>
      </c>
      <c r="P67" s="43">
        <v>24.22</v>
      </c>
      <c r="Q67" s="44">
        <f>P67*4+O67*9+N67*4</f>
        <v>189.93</v>
      </c>
      <c r="R67" s="436">
        <v>5</v>
      </c>
      <c r="S67" s="387" t="s">
        <v>279</v>
      </c>
    </row>
    <row r="68" spans="1:19" ht="15.75" thickBot="1" x14ac:dyDescent="0.3">
      <c r="A68" s="77"/>
      <c r="B68" s="551" t="s">
        <v>37</v>
      </c>
      <c r="C68" s="552">
        <v>120</v>
      </c>
      <c r="D68" s="63">
        <v>0.48</v>
      </c>
      <c r="E68" s="64">
        <v>0.48</v>
      </c>
      <c r="F68" s="65">
        <v>11.76</v>
      </c>
      <c r="G68" s="140">
        <f t="shared" ref="G68" si="14">F68*4+E68*9+D68*4</f>
        <v>53.28</v>
      </c>
      <c r="H68" s="164">
        <v>26</v>
      </c>
      <c r="I68" s="165" t="s">
        <v>230</v>
      </c>
      <c r="K68" s="47" t="s">
        <v>29</v>
      </c>
      <c r="L68" s="433" t="s">
        <v>232</v>
      </c>
      <c r="M68" s="89" t="s">
        <v>306</v>
      </c>
      <c r="N68" s="187">
        <v>11.07</v>
      </c>
      <c r="O68" s="92">
        <v>17.696999999999999</v>
      </c>
      <c r="P68" s="188">
        <v>15.07</v>
      </c>
      <c r="Q68" s="44">
        <f t="shared" ref="Q68" si="15">P68*4+O68*9+N68*4</f>
        <v>263.83299999999997</v>
      </c>
      <c r="R68" s="45">
        <v>20</v>
      </c>
      <c r="S68" s="53" t="s">
        <v>105</v>
      </c>
    </row>
    <row r="69" spans="1:19" ht="16.5" thickBot="1" x14ac:dyDescent="0.3">
      <c r="A69" s="391" t="s">
        <v>39</v>
      </c>
      <c r="B69" s="102"/>
      <c r="C69" s="103"/>
      <c r="D69" s="428">
        <f>SUM(D64:D68)</f>
        <v>18.768000000000001</v>
      </c>
      <c r="E69" s="179">
        <f>SUM(E64:E68)</f>
        <v>16.023</v>
      </c>
      <c r="F69" s="429">
        <f>SUM(F64:F68)</f>
        <v>84.858000000000018</v>
      </c>
      <c r="G69" s="179">
        <f>SUM(G64:G68)</f>
        <v>558.71100000000001</v>
      </c>
      <c r="H69" s="395" t="s">
        <v>40</v>
      </c>
      <c r="I69" s="76"/>
      <c r="K69" s="477" t="s">
        <v>32</v>
      </c>
      <c r="L69" s="433" t="s">
        <v>70</v>
      </c>
      <c r="M69" s="41">
        <v>200</v>
      </c>
      <c r="N69" s="42">
        <v>0.66200000000000003</v>
      </c>
      <c r="O69" s="43">
        <v>0.09</v>
      </c>
      <c r="P69" s="43">
        <v>32.85</v>
      </c>
      <c r="Q69" s="44">
        <f>P69*4+O69*9+N69*4</f>
        <v>134.858</v>
      </c>
      <c r="R69" s="48">
        <v>35</v>
      </c>
      <c r="S69" s="49" t="s">
        <v>281</v>
      </c>
    </row>
    <row r="70" spans="1:19" ht="15.75" thickBot="1" x14ac:dyDescent="0.3">
      <c r="A70" s="396" t="s">
        <v>56</v>
      </c>
      <c r="B70" s="116"/>
      <c r="C70" s="397"/>
      <c r="D70" s="524">
        <v>22.5</v>
      </c>
      <c r="E70" s="525">
        <v>23</v>
      </c>
      <c r="F70" s="525">
        <v>95.75</v>
      </c>
      <c r="G70" s="525">
        <v>680</v>
      </c>
      <c r="H70" s="401" t="s">
        <v>55</v>
      </c>
      <c r="I70" s="83">
        <f>C65+C66+C67+C68+54+146</f>
        <v>600</v>
      </c>
      <c r="K70" s="47" t="s">
        <v>101</v>
      </c>
      <c r="L70" s="433" t="s">
        <v>33</v>
      </c>
      <c r="M70" s="41">
        <v>70</v>
      </c>
      <c r="N70" s="158">
        <v>3.57</v>
      </c>
      <c r="O70" s="43">
        <v>0.59499999999999997</v>
      </c>
      <c r="P70" s="43">
        <v>33.104999999999997</v>
      </c>
      <c r="Q70" s="44">
        <f t="shared" ref="Q70:Q72" si="16">P70*4+O70*9+N70*4</f>
        <v>152.05499999999998</v>
      </c>
      <c r="R70" s="45">
        <v>31</v>
      </c>
      <c r="S70" s="53" t="s">
        <v>34</v>
      </c>
    </row>
    <row r="71" spans="1:19" ht="15.75" thickBot="1" x14ac:dyDescent="0.3">
      <c r="C71" s="3"/>
      <c r="D71" s="3"/>
      <c r="E71" s="3"/>
      <c r="F71" s="3"/>
      <c r="G71" s="3"/>
      <c r="H71" s="3"/>
      <c r="I71" s="3"/>
      <c r="K71" s="77"/>
      <c r="L71" s="433" t="s">
        <v>52</v>
      </c>
      <c r="M71" s="56">
        <v>40</v>
      </c>
      <c r="N71" s="488">
        <v>2.2599999999999998</v>
      </c>
      <c r="O71" s="385">
        <v>0.48</v>
      </c>
      <c r="P71" s="385">
        <v>16.739999999999998</v>
      </c>
      <c r="Q71" s="44">
        <f t="shared" si="16"/>
        <v>80.319999999999993</v>
      </c>
      <c r="R71" s="48">
        <v>32</v>
      </c>
      <c r="S71" s="49" t="s">
        <v>34</v>
      </c>
    </row>
    <row r="72" spans="1:19" ht="15.75" thickBot="1" x14ac:dyDescent="0.3">
      <c r="A72" s="11" t="s">
        <v>4</v>
      </c>
      <c r="B72" s="12"/>
      <c r="C72" s="13" t="s">
        <v>5</v>
      </c>
      <c r="D72" s="14" t="s">
        <v>6</v>
      </c>
      <c r="E72" s="14"/>
      <c r="F72" s="14"/>
      <c r="G72" s="15" t="s">
        <v>7</v>
      </c>
      <c r="H72" s="16" t="s">
        <v>8</v>
      </c>
      <c r="I72" s="17" t="s">
        <v>9</v>
      </c>
      <c r="K72" s="77"/>
      <c r="L72" s="132" t="s">
        <v>37</v>
      </c>
      <c r="M72" s="62">
        <v>160</v>
      </c>
      <c r="N72" s="162">
        <v>0.64</v>
      </c>
      <c r="O72" s="64">
        <v>0.64</v>
      </c>
      <c r="P72" s="65">
        <v>15.68</v>
      </c>
      <c r="Q72" s="140">
        <f t="shared" si="16"/>
        <v>71.040000000000006</v>
      </c>
      <c r="R72" s="482">
        <v>33</v>
      </c>
      <c r="S72" s="49" t="s">
        <v>230</v>
      </c>
    </row>
    <row r="73" spans="1:19" ht="15.75" thickBot="1" x14ac:dyDescent="0.3">
      <c r="A73" s="18" t="s">
        <v>10</v>
      </c>
      <c r="B73" s="19" t="s">
        <v>11</v>
      </c>
      <c r="C73" s="20" t="s">
        <v>12</v>
      </c>
      <c r="D73" s="21" t="s">
        <v>13</v>
      </c>
      <c r="E73" s="21" t="s">
        <v>14</v>
      </c>
      <c r="F73" s="21" t="s">
        <v>15</v>
      </c>
      <c r="G73" s="22" t="s">
        <v>16</v>
      </c>
      <c r="H73" s="23" t="s">
        <v>17</v>
      </c>
      <c r="I73" s="24" t="s">
        <v>18</v>
      </c>
      <c r="K73" s="101" t="s">
        <v>53</v>
      </c>
      <c r="L73" s="102"/>
      <c r="M73" s="103"/>
      <c r="N73" s="428">
        <f>SUM(N67:N72)</f>
        <v>25.692</v>
      </c>
      <c r="O73" s="490">
        <f>SUM(O67:O72)</f>
        <v>26.512</v>
      </c>
      <c r="P73" s="429">
        <f>SUM(P67:P72)</f>
        <v>137.66499999999999</v>
      </c>
      <c r="Q73" s="487">
        <f>SUM(Q67:Q72)</f>
        <v>892.03599999999983</v>
      </c>
      <c r="R73" s="107" t="s">
        <v>40</v>
      </c>
      <c r="S73" s="76"/>
    </row>
    <row r="74" spans="1:19" ht="15.75" thickBot="1" x14ac:dyDescent="0.3">
      <c r="A74" s="402"/>
      <c r="B74" s="26"/>
      <c r="C74" s="381"/>
      <c r="D74" s="28" t="s">
        <v>19</v>
      </c>
      <c r="E74" s="28" t="s">
        <v>20</v>
      </c>
      <c r="F74" s="28" t="s">
        <v>21</v>
      </c>
      <c r="G74" s="29" t="s">
        <v>22</v>
      </c>
      <c r="H74" s="30" t="s">
        <v>23</v>
      </c>
      <c r="I74" s="31" t="s">
        <v>24</v>
      </c>
      <c r="K74" s="396" t="s">
        <v>56</v>
      </c>
      <c r="L74" s="116"/>
      <c r="M74" s="397"/>
      <c r="N74" s="524">
        <v>31.5</v>
      </c>
      <c r="O74" s="525">
        <v>32.200000000000003</v>
      </c>
      <c r="P74" s="526">
        <v>134.05000000000001</v>
      </c>
      <c r="Q74" s="119">
        <v>952</v>
      </c>
      <c r="R74" s="401" t="s">
        <v>55</v>
      </c>
      <c r="S74" s="83">
        <f>M67+M69+M70+M71+M72+71+159</f>
        <v>950</v>
      </c>
    </row>
    <row r="75" spans="1:19" x14ac:dyDescent="0.25">
      <c r="A75" s="200" t="s">
        <v>26</v>
      </c>
      <c r="B75" s="51" t="s">
        <v>319</v>
      </c>
      <c r="C75" s="33">
        <v>100</v>
      </c>
      <c r="D75" s="384">
        <v>8.1905999999999999</v>
      </c>
      <c r="E75" s="385">
        <v>6.81</v>
      </c>
      <c r="F75" s="385">
        <v>9.67</v>
      </c>
      <c r="G75" s="44">
        <f>F75*4+E75*9+D75*4</f>
        <v>132.73239999999998</v>
      </c>
      <c r="H75" s="280">
        <v>19</v>
      </c>
      <c r="I75" s="483" t="s">
        <v>320</v>
      </c>
      <c r="M75" s="3"/>
      <c r="N75" s="3"/>
      <c r="O75" s="3"/>
      <c r="P75" s="3"/>
      <c r="Q75" s="3"/>
      <c r="R75" s="3"/>
      <c r="S75" s="3"/>
    </row>
    <row r="76" spans="1:19" ht="21" x14ac:dyDescent="0.35">
      <c r="A76" s="77"/>
      <c r="B76" s="55" t="s">
        <v>288</v>
      </c>
      <c r="C76" s="56" t="s">
        <v>321</v>
      </c>
      <c r="D76" s="125">
        <v>2.484</v>
      </c>
      <c r="E76" s="126">
        <v>6.4367999999999999</v>
      </c>
      <c r="F76" s="561">
        <v>14.4</v>
      </c>
      <c r="G76" s="140">
        <f>F76*4+E76*9+D76*4</f>
        <v>125.46719999999999</v>
      </c>
      <c r="H76" s="495">
        <v>6</v>
      </c>
      <c r="I76" s="49" t="s">
        <v>322</v>
      </c>
      <c r="M76" s="373" t="s">
        <v>282</v>
      </c>
      <c r="N76" s="3"/>
      <c r="O76" s="3"/>
      <c r="P76" s="3"/>
      <c r="Q76" s="3"/>
      <c r="R76" s="3"/>
      <c r="S76" s="3"/>
    </row>
    <row r="77" spans="1:19" ht="15.75" thickBot="1" x14ac:dyDescent="0.3">
      <c r="A77" s="47" t="s">
        <v>29</v>
      </c>
      <c r="B77" s="562" t="s">
        <v>323</v>
      </c>
      <c r="C77" s="533"/>
      <c r="D77" s="95">
        <v>1.6319999999999999</v>
      </c>
      <c r="E77" s="96">
        <v>2.944</v>
      </c>
      <c r="F77" s="97">
        <v>6.3120000000000003</v>
      </c>
      <c r="G77" s="150">
        <f>F77*4+E77*9+D77*4</f>
        <v>58.271999999999998</v>
      </c>
      <c r="H77" s="256"/>
      <c r="I77" s="100" t="s">
        <v>69</v>
      </c>
      <c r="M77" s="3"/>
      <c r="N77" s="3"/>
      <c r="O77" s="3"/>
      <c r="P77" s="3"/>
      <c r="Q77" s="3"/>
      <c r="R77" s="3"/>
      <c r="S77" s="3"/>
    </row>
    <row r="78" spans="1:19" ht="16.5" thickBot="1" x14ac:dyDescent="0.3">
      <c r="A78" s="477" t="s">
        <v>32</v>
      </c>
      <c r="B78" s="433" t="s">
        <v>70</v>
      </c>
      <c r="C78" s="41">
        <v>200</v>
      </c>
      <c r="D78" s="42">
        <v>0.66200000000000003</v>
      </c>
      <c r="E78" s="43">
        <v>0.09</v>
      </c>
      <c r="F78" s="43">
        <v>32.85</v>
      </c>
      <c r="G78" s="44">
        <f t="shared" ref="G78" si="17">F78*4+E78*9+D78*4</f>
        <v>134.858</v>
      </c>
      <c r="H78" s="418">
        <v>28</v>
      </c>
      <c r="I78" s="53" t="s">
        <v>71</v>
      </c>
      <c r="K78" s="11" t="s">
        <v>4</v>
      </c>
      <c r="L78" s="12"/>
      <c r="M78" s="13" t="s">
        <v>5</v>
      </c>
      <c r="N78" s="14" t="s">
        <v>6</v>
      </c>
      <c r="O78" s="14"/>
      <c r="P78" s="14"/>
      <c r="Q78" s="15" t="s">
        <v>7</v>
      </c>
      <c r="R78" s="16" t="s">
        <v>8</v>
      </c>
      <c r="S78" s="17" t="s">
        <v>9</v>
      </c>
    </row>
    <row r="79" spans="1:19" x14ac:dyDescent="0.25">
      <c r="A79" s="47" t="s">
        <v>115</v>
      </c>
      <c r="B79" s="51" t="s">
        <v>33</v>
      </c>
      <c r="C79" s="41">
        <v>50</v>
      </c>
      <c r="D79" s="42">
        <v>2.5499999999999998</v>
      </c>
      <c r="E79" s="43">
        <v>0.42499999999999999</v>
      </c>
      <c r="F79" s="43">
        <v>23.074999999999999</v>
      </c>
      <c r="G79" s="44">
        <f>F79*4+E79*9+D79*4</f>
        <v>106.325</v>
      </c>
      <c r="H79" s="45">
        <v>24</v>
      </c>
      <c r="I79" s="53" t="s">
        <v>34</v>
      </c>
      <c r="K79" s="18" t="s">
        <v>10</v>
      </c>
      <c r="L79" s="19" t="s">
        <v>11</v>
      </c>
      <c r="M79" s="20" t="s">
        <v>12</v>
      </c>
      <c r="N79" s="21" t="s">
        <v>13</v>
      </c>
      <c r="O79" s="21" t="s">
        <v>14</v>
      </c>
      <c r="P79" s="21" t="s">
        <v>15</v>
      </c>
      <c r="Q79" s="22" t="s">
        <v>16</v>
      </c>
      <c r="R79" s="23" t="s">
        <v>17</v>
      </c>
      <c r="S79" s="24" t="s">
        <v>18</v>
      </c>
    </row>
    <row r="80" spans="1:19" ht="15.75" thickBot="1" x14ac:dyDescent="0.3">
      <c r="A80" s="77"/>
      <c r="B80" s="55" t="s">
        <v>52</v>
      </c>
      <c r="C80" s="62">
        <v>40</v>
      </c>
      <c r="D80" s="42">
        <v>2.2599999999999998</v>
      </c>
      <c r="E80" s="43">
        <v>0.48</v>
      </c>
      <c r="F80" s="43">
        <v>16.739999999999998</v>
      </c>
      <c r="G80" s="44">
        <f t="shared" ref="G80" si="18">F80*4+E80*9+D80*4</f>
        <v>80.319999999999993</v>
      </c>
      <c r="H80" s="48">
        <v>25</v>
      </c>
      <c r="I80" s="53" t="s">
        <v>34</v>
      </c>
      <c r="K80" s="25"/>
      <c r="L80" s="26"/>
      <c r="M80" s="381"/>
      <c r="N80" s="28" t="s">
        <v>19</v>
      </c>
      <c r="O80" s="28" t="s">
        <v>20</v>
      </c>
      <c r="P80" s="28" t="s">
        <v>21</v>
      </c>
      <c r="Q80" s="29" t="s">
        <v>22</v>
      </c>
      <c r="R80" s="228" t="s">
        <v>23</v>
      </c>
      <c r="S80" s="24" t="s">
        <v>24</v>
      </c>
    </row>
    <row r="81" spans="1:19" ht="15.75" thickBot="1" x14ac:dyDescent="0.3">
      <c r="A81" s="101" t="s">
        <v>53</v>
      </c>
      <c r="B81" s="102"/>
      <c r="C81" s="109"/>
      <c r="D81" s="428">
        <f>SUM(D75:D80)</f>
        <v>17.778599999999997</v>
      </c>
      <c r="E81" s="429">
        <f>SUM(E75:E80)</f>
        <v>17.1858</v>
      </c>
      <c r="F81" s="429">
        <f>SUM(F75:F80)</f>
        <v>103.047</v>
      </c>
      <c r="G81" s="179">
        <f>SUM(G75:G80)</f>
        <v>637.97460000000001</v>
      </c>
      <c r="H81" s="107" t="s">
        <v>40</v>
      </c>
      <c r="I81" s="76"/>
      <c r="K81" s="200" t="s">
        <v>26</v>
      </c>
      <c r="L81" s="433" t="s">
        <v>283</v>
      </c>
      <c r="M81" s="33">
        <v>250</v>
      </c>
      <c r="N81" s="42">
        <v>5.0613000000000001</v>
      </c>
      <c r="O81" s="43">
        <v>9.3879999999999999</v>
      </c>
      <c r="P81" s="43">
        <v>17.163</v>
      </c>
      <c r="Q81" s="44">
        <f t="shared" ref="Q81" si="19">P81*4+O81*9+N81*4</f>
        <v>173.38920000000002</v>
      </c>
      <c r="R81" s="491">
        <v>6</v>
      </c>
      <c r="S81" s="442" t="s">
        <v>117</v>
      </c>
    </row>
    <row r="82" spans="1:19" ht="15.75" thickBot="1" x14ac:dyDescent="0.3">
      <c r="A82" s="396" t="s">
        <v>56</v>
      </c>
      <c r="B82" s="116"/>
      <c r="C82" s="117"/>
      <c r="D82" s="524">
        <v>31.5</v>
      </c>
      <c r="E82" s="525">
        <v>32.200000000000003</v>
      </c>
      <c r="F82" s="526">
        <v>134.05000000000001</v>
      </c>
      <c r="G82" s="119">
        <v>952</v>
      </c>
      <c r="H82" s="401" t="s">
        <v>55</v>
      </c>
      <c r="I82" s="83">
        <f>C75+C78+C79+C80+120+80</f>
        <v>590</v>
      </c>
      <c r="K82" s="47" t="s">
        <v>110</v>
      </c>
      <c r="L82" s="88" t="s">
        <v>284</v>
      </c>
      <c r="M82" s="41">
        <v>30</v>
      </c>
      <c r="N82" s="42">
        <v>0.24</v>
      </c>
      <c r="O82" s="43">
        <v>0.06</v>
      </c>
      <c r="P82" s="43">
        <v>0.54</v>
      </c>
      <c r="Q82" s="44">
        <f>P82*4+O82*9+N82*4</f>
        <v>3.66</v>
      </c>
      <c r="R82" s="280">
        <v>28</v>
      </c>
      <c r="S82" s="483" t="s">
        <v>107</v>
      </c>
    </row>
    <row r="83" spans="1:19" ht="15.75" x14ac:dyDescent="0.25">
      <c r="C83" s="3"/>
      <c r="D83" s="3"/>
      <c r="E83" s="3"/>
      <c r="F83" s="3"/>
      <c r="G83" s="3"/>
      <c r="H83" s="3"/>
      <c r="I83" s="3"/>
      <c r="K83" s="477" t="s">
        <v>32</v>
      </c>
      <c r="L83" s="90" t="s">
        <v>118</v>
      </c>
      <c r="M83" s="41" t="s">
        <v>307</v>
      </c>
      <c r="N83" s="437">
        <v>15.558999999999999</v>
      </c>
      <c r="O83" s="438">
        <v>22.63</v>
      </c>
      <c r="P83" s="438">
        <v>37.03</v>
      </c>
      <c r="Q83" s="44">
        <v>414.3</v>
      </c>
      <c r="R83" s="492">
        <v>14</v>
      </c>
      <c r="S83" s="53" t="s">
        <v>119</v>
      </c>
    </row>
    <row r="84" spans="1:19" ht="15.75" x14ac:dyDescent="0.25">
      <c r="C84" s="371" t="s">
        <v>238</v>
      </c>
      <c r="D84" s="3"/>
      <c r="E84" s="3"/>
      <c r="F84" s="3"/>
      <c r="G84" s="3"/>
      <c r="H84" s="3"/>
      <c r="I84" s="3"/>
      <c r="K84" s="47" t="s">
        <v>115</v>
      </c>
      <c r="L84" s="51" t="s">
        <v>286</v>
      </c>
      <c r="M84" s="41">
        <v>200</v>
      </c>
      <c r="N84" s="158">
        <v>1.52</v>
      </c>
      <c r="O84" s="43">
        <v>1.35</v>
      </c>
      <c r="P84" s="43">
        <v>15.9</v>
      </c>
      <c r="Q84" s="159">
        <f>P84*4+O84*9+N84*4</f>
        <v>81.83</v>
      </c>
      <c r="R84" s="280">
        <v>39</v>
      </c>
      <c r="S84" s="53" t="s">
        <v>287</v>
      </c>
    </row>
    <row r="85" spans="1:19" ht="15.75" thickBot="1" x14ac:dyDescent="0.3">
      <c r="C85" s="3"/>
      <c r="D85" s="3"/>
      <c r="E85" s="3"/>
      <c r="F85" s="3"/>
      <c r="G85" s="3"/>
      <c r="H85" s="3"/>
      <c r="I85" s="3"/>
      <c r="K85" s="77"/>
      <c r="L85" s="433" t="s">
        <v>33</v>
      </c>
      <c r="M85" s="41">
        <v>70</v>
      </c>
      <c r="N85" s="158">
        <v>3.57</v>
      </c>
      <c r="O85" s="43">
        <v>0.59499999999999997</v>
      </c>
      <c r="P85" s="43">
        <v>33.104999999999997</v>
      </c>
      <c r="Q85" s="44">
        <f t="shared" ref="Q85:Q87" si="20">P85*4+O85*9+N85*4</f>
        <v>152.05499999999998</v>
      </c>
      <c r="R85" s="45">
        <v>31</v>
      </c>
      <c r="S85" s="53" t="s">
        <v>34</v>
      </c>
    </row>
    <row r="86" spans="1:19" ht="15.75" thickBot="1" x14ac:dyDescent="0.3">
      <c r="A86" s="11" t="s">
        <v>4</v>
      </c>
      <c r="B86" s="12"/>
      <c r="C86" s="13" t="s">
        <v>5</v>
      </c>
      <c r="D86" s="14" t="s">
        <v>6</v>
      </c>
      <c r="E86" s="14"/>
      <c r="F86" s="14"/>
      <c r="G86" s="15" t="s">
        <v>7</v>
      </c>
      <c r="H86" s="16" t="s">
        <v>8</v>
      </c>
      <c r="I86" s="17" t="s">
        <v>9</v>
      </c>
      <c r="K86" s="77"/>
      <c r="L86" s="433" t="s">
        <v>52</v>
      </c>
      <c r="M86" s="41">
        <v>50</v>
      </c>
      <c r="N86" s="384">
        <v>2.8250000000000002</v>
      </c>
      <c r="O86" s="385">
        <v>0.6</v>
      </c>
      <c r="P86" s="385">
        <v>20.925000000000001</v>
      </c>
      <c r="Q86" s="44">
        <f t="shared" si="20"/>
        <v>100.4</v>
      </c>
      <c r="R86" s="48">
        <v>32</v>
      </c>
      <c r="S86" s="49" t="s">
        <v>34</v>
      </c>
    </row>
    <row r="87" spans="1:19" ht="15.75" thickBot="1" x14ac:dyDescent="0.3">
      <c r="A87" s="18" t="s">
        <v>10</v>
      </c>
      <c r="B87" s="19" t="s">
        <v>11</v>
      </c>
      <c r="C87" s="20" t="s">
        <v>12</v>
      </c>
      <c r="D87" s="21" t="s">
        <v>13</v>
      </c>
      <c r="E87" s="21" t="s">
        <v>14</v>
      </c>
      <c r="F87" s="21" t="s">
        <v>15</v>
      </c>
      <c r="G87" s="22" t="s">
        <v>16</v>
      </c>
      <c r="H87" s="23" t="s">
        <v>17</v>
      </c>
      <c r="I87" s="24" t="s">
        <v>18</v>
      </c>
      <c r="K87" s="161"/>
      <c r="L87" s="236" t="s">
        <v>37</v>
      </c>
      <c r="M87" s="62">
        <v>160</v>
      </c>
      <c r="N87" s="162">
        <v>0.64</v>
      </c>
      <c r="O87" s="64">
        <v>0.64</v>
      </c>
      <c r="P87" s="65">
        <v>15.68</v>
      </c>
      <c r="Q87" s="140">
        <f t="shared" si="20"/>
        <v>71.040000000000006</v>
      </c>
      <c r="R87" s="48">
        <v>33</v>
      </c>
      <c r="S87" s="49" t="s">
        <v>230</v>
      </c>
    </row>
    <row r="88" spans="1:19" ht="15.75" thickBot="1" x14ac:dyDescent="0.3">
      <c r="A88" s="402"/>
      <c r="B88" s="26"/>
      <c r="C88" s="381"/>
      <c r="D88" s="28" t="s">
        <v>19</v>
      </c>
      <c r="E88" s="28" t="s">
        <v>20</v>
      </c>
      <c r="F88" s="28" t="s">
        <v>21</v>
      </c>
      <c r="G88" s="29" t="s">
        <v>22</v>
      </c>
      <c r="H88" s="30" t="s">
        <v>23</v>
      </c>
      <c r="I88" s="31" t="s">
        <v>24</v>
      </c>
      <c r="K88" s="101" t="s">
        <v>53</v>
      </c>
      <c r="L88" s="102"/>
      <c r="M88" s="109"/>
      <c r="N88" s="428">
        <f>SUM(N81:N87)</f>
        <v>29.415299999999998</v>
      </c>
      <c r="O88" s="429">
        <f>SUM(O81:O87)</f>
        <v>35.263000000000005</v>
      </c>
      <c r="P88" s="429">
        <f>SUM(P81:P87)</f>
        <v>140.34299999999999</v>
      </c>
      <c r="Q88" s="487">
        <f>SUM(Q81:Q87)</f>
        <v>996.67419999999993</v>
      </c>
      <c r="R88" s="107" t="s">
        <v>40</v>
      </c>
      <c r="S88" s="76"/>
    </row>
    <row r="89" spans="1:19" ht="15.75" thickBot="1" x14ac:dyDescent="0.3">
      <c r="A89" s="200" t="s">
        <v>26</v>
      </c>
      <c r="B89" s="413" t="s">
        <v>106</v>
      </c>
      <c r="C89" s="33">
        <v>70</v>
      </c>
      <c r="D89" s="42">
        <v>0.56000000000000005</v>
      </c>
      <c r="E89" s="43">
        <v>7.0000000000000007E-2</v>
      </c>
      <c r="F89" s="43">
        <v>1.19</v>
      </c>
      <c r="G89" s="44">
        <f t="shared" ref="G89" si="21">F89*4+E89*9+D89*4</f>
        <v>7.63</v>
      </c>
      <c r="H89" s="436">
        <v>5</v>
      </c>
      <c r="I89" s="416" t="s">
        <v>107</v>
      </c>
      <c r="K89" s="396" t="s">
        <v>56</v>
      </c>
      <c r="L89" s="116"/>
      <c r="M89" s="117"/>
      <c r="N89" s="524">
        <v>31.5</v>
      </c>
      <c r="O89" s="525">
        <v>32.200000000000003</v>
      </c>
      <c r="P89" s="526">
        <v>134.05000000000001</v>
      </c>
      <c r="Q89" s="119">
        <v>952</v>
      </c>
      <c r="R89" s="401" t="s">
        <v>55</v>
      </c>
      <c r="S89" s="83">
        <f>M81+M82+M84+M85+M86+M87+58+162</f>
        <v>980</v>
      </c>
    </row>
    <row r="90" spans="1:19" ht="15.75" thickBot="1" x14ac:dyDescent="0.3">
      <c r="A90" s="47" t="s">
        <v>110</v>
      </c>
      <c r="B90" s="90" t="s">
        <v>118</v>
      </c>
      <c r="C90" s="41" t="s">
        <v>324</v>
      </c>
      <c r="D90" s="454">
        <v>14.29</v>
      </c>
      <c r="E90" s="438">
        <v>21.0914</v>
      </c>
      <c r="F90" s="438">
        <v>36.43</v>
      </c>
      <c r="G90" s="44">
        <f>F90*4+E90*9+D90*4</f>
        <v>392.70259999999996</v>
      </c>
      <c r="H90" s="45">
        <v>14</v>
      </c>
      <c r="I90" s="53" t="s">
        <v>119</v>
      </c>
      <c r="M90" s="3"/>
      <c r="N90" s="3"/>
      <c r="O90" s="3"/>
      <c r="P90" s="3"/>
      <c r="Q90" s="3"/>
      <c r="R90" s="3"/>
      <c r="S90" s="3"/>
    </row>
    <row r="91" spans="1:19" ht="16.5" thickBot="1" x14ac:dyDescent="0.3">
      <c r="A91" s="50" t="s">
        <v>32</v>
      </c>
      <c r="B91" s="90" t="s">
        <v>60</v>
      </c>
      <c r="C91" s="41">
        <v>200</v>
      </c>
      <c r="D91" s="158">
        <v>7.0000000000000007E-2</v>
      </c>
      <c r="E91" s="43">
        <v>0.02</v>
      </c>
      <c r="F91" s="43">
        <v>15</v>
      </c>
      <c r="G91" s="44">
        <f t="shared" ref="G91:G94" si="22">F91*4+E91*9+D91*4</f>
        <v>60.46</v>
      </c>
      <c r="H91" s="45">
        <v>32</v>
      </c>
      <c r="I91" s="53" t="s">
        <v>61</v>
      </c>
      <c r="K91" s="11" t="s">
        <v>4</v>
      </c>
      <c r="L91" s="12"/>
      <c r="M91" s="13" t="s">
        <v>5</v>
      </c>
      <c r="N91" s="14" t="s">
        <v>6</v>
      </c>
      <c r="O91" s="14"/>
      <c r="P91" s="14"/>
      <c r="Q91" s="15" t="s">
        <v>7</v>
      </c>
      <c r="R91" s="16" t="s">
        <v>8</v>
      </c>
      <c r="S91" s="17" t="s">
        <v>9</v>
      </c>
    </row>
    <row r="92" spans="1:19" x14ac:dyDescent="0.25">
      <c r="A92" s="54" t="s">
        <v>244</v>
      </c>
      <c r="B92" s="433" t="s">
        <v>256</v>
      </c>
      <c r="C92" s="41">
        <v>20</v>
      </c>
      <c r="D92" s="454">
        <v>0.84399999999999997</v>
      </c>
      <c r="E92" s="188">
        <v>0.35</v>
      </c>
      <c r="F92" s="188">
        <v>8</v>
      </c>
      <c r="G92" s="44">
        <f t="shared" si="22"/>
        <v>38.525999999999996</v>
      </c>
      <c r="H92" s="151">
        <v>23</v>
      </c>
      <c r="I92" s="53" t="s">
        <v>34</v>
      </c>
      <c r="K92" s="18" t="s">
        <v>10</v>
      </c>
      <c r="L92" s="19" t="s">
        <v>11</v>
      </c>
      <c r="M92" s="20" t="s">
        <v>12</v>
      </c>
      <c r="N92" s="21" t="s">
        <v>13</v>
      </c>
      <c r="O92" s="21" t="s">
        <v>14</v>
      </c>
      <c r="P92" s="21" t="s">
        <v>15</v>
      </c>
      <c r="Q92" s="22" t="s">
        <v>16</v>
      </c>
      <c r="R92" s="23" t="s">
        <v>17</v>
      </c>
      <c r="S92" s="24" t="s">
        <v>18</v>
      </c>
    </row>
    <row r="93" spans="1:19" ht="15.75" thickBot="1" x14ac:dyDescent="0.3">
      <c r="A93" s="77"/>
      <c r="B93" s="90" t="s">
        <v>33</v>
      </c>
      <c r="C93" s="41">
        <v>50</v>
      </c>
      <c r="D93" s="42">
        <v>2.5499999999999998</v>
      </c>
      <c r="E93" s="43">
        <v>0.42499999999999999</v>
      </c>
      <c r="F93" s="43">
        <v>23.074999999999999</v>
      </c>
      <c r="G93" s="44">
        <f t="shared" si="22"/>
        <v>106.325</v>
      </c>
      <c r="H93" s="45">
        <v>24</v>
      </c>
      <c r="I93" s="53" t="s">
        <v>34</v>
      </c>
      <c r="K93" s="25"/>
      <c r="L93" s="26"/>
      <c r="M93" s="381"/>
      <c r="N93" s="28" t="s">
        <v>19</v>
      </c>
      <c r="O93" s="28" t="s">
        <v>20</v>
      </c>
      <c r="P93" s="28" t="s">
        <v>21</v>
      </c>
      <c r="Q93" s="29" t="s">
        <v>22</v>
      </c>
      <c r="R93" s="228" t="s">
        <v>23</v>
      </c>
      <c r="S93" s="24" t="s">
        <v>24</v>
      </c>
    </row>
    <row r="94" spans="1:19" ht="15.75" thickBot="1" x14ac:dyDescent="0.3">
      <c r="A94" s="161"/>
      <c r="B94" s="90" t="s">
        <v>52</v>
      </c>
      <c r="C94" s="62">
        <v>40</v>
      </c>
      <c r="D94" s="42">
        <v>2.2599999999999998</v>
      </c>
      <c r="E94" s="43">
        <v>0.48</v>
      </c>
      <c r="F94" s="43">
        <v>16.739999999999998</v>
      </c>
      <c r="G94" s="44">
        <f t="shared" si="22"/>
        <v>80.319999999999993</v>
      </c>
      <c r="H94" s="48">
        <v>25</v>
      </c>
      <c r="I94" s="53" t="s">
        <v>34</v>
      </c>
      <c r="K94" s="200" t="s">
        <v>26</v>
      </c>
      <c r="L94" s="433" t="s">
        <v>122</v>
      </c>
      <c r="M94" s="33">
        <v>250</v>
      </c>
      <c r="N94" s="384">
        <v>5.133</v>
      </c>
      <c r="O94" s="385">
        <v>6.3529999999999998</v>
      </c>
      <c r="P94" s="385">
        <v>12.337999999999999</v>
      </c>
      <c r="Q94" s="44">
        <f>P94*4+O94*9+N94*4</f>
        <v>127.06099999999999</v>
      </c>
      <c r="R94" s="493">
        <v>7</v>
      </c>
      <c r="S94" s="387" t="s">
        <v>123</v>
      </c>
    </row>
    <row r="95" spans="1:19" ht="15.75" thickBot="1" x14ac:dyDescent="0.3">
      <c r="A95" s="391" t="s">
        <v>39</v>
      </c>
      <c r="B95" s="102"/>
      <c r="C95" s="103"/>
      <c r="D95" s="428">
        <f>SUM(D89:D94)</f>
        <v>20.573999999999998</v>
      </c>
      <c r="E95" s="429">
        <f>SUM(E89:E94)</f>
        <v>22.436400000000003</v>
      </c>
      <c r="F95" s="429">
        <f>SUM(F89:F94)</f>
        <v>100.43499999999999</v>
      </c>
      <c r="G95" s="179">
        <f>SUM(G89:G94)</f>
        <v>685.96360000000004</v>
      </c>
      <c r="H95" s="395" t="s">
        <v>40</v>
      </c>
      <c r="I95" s="76"/>
      <c r="K95" s="47" t="s">
        <v>110</v>
      </c>
      <c r="L95" s="51" t="s">
        <v>124</v>
      </c>
      <c r="M95" s="41" t="s">
        <v>125</v>
      </c>
      <c r="N95" s="42">
        <v>9.9049999999999994</v>
      </c>
      <c r="O95" s="43">
        <v>9.984</v>
      </c>
      <c r="P95" s="43">
        <v>11.115</v>
      </c>
      <c r="Q95" s="159">
        <f>P95*4+O95*9+N95*4</f>
        <v>173.93600000000001</v>
      </c>
      <c r="R95" s="257">
        <v>17</v>
      </c>
      <c r="S95" s="46" t="s">
        <v>126</v>
      </c>
    </row>
    <row r="96" spans="1:19" ht="16.5" thickBot="1" x14ac:dyDescent="0.3">
      <c r="A96" s="396" t="s">
        <v>56</v>
      </c>
      <c r="B96" s="116"/>
      <c r="C96" s="397"/>
      <c r="D96" s="524">
        <v>22.5</v>
      </c>
      <c r="E96" s="525">
        <v>23</v>
      </c>
      <c r="F96" s="525">
        <v>95.75</v>
      </c>
      <c r="G96" s="525">
        <v>680</v>
      </c>
      <c r="H96" s="401" t="s">
        <v>55</v>
      </c>
      <c r="I96" s="83">
        <f>C89+C91+C92+C93+C94+48+162</f>
        <v>590</v>
      </c>
      <c r="K96" s="477" t="s">
        <v>32</v>
      </c>
      <c r="L96" s="55" t="s">
        <v>288</v>
      </c>
      <c r="M96" s="56" t="s">
        <v>128</v>
      </c>
      <c r="N96" s="125">
        <v>2.484</v>
      </c>
      <c r="O96" s="126">
        <v>6.4370000000000003</v>
      </c>
      <c r="P96" s="127">
        <v>17.547000000000001</v>
      </c>
      <c r="Q96" s="140">
        <f>P96*4+O96*9+N96*4</f>
        <v>138.05700000000002</v>
      </c>
      <c r="R96" s="495">
        <v>24</v>
      </c>
      <c r="S96" s="49" t="s">
        <v>93</v>
      </c>
    </row>
    <row r="97" spans="1:19" ht="15.75" thickBot="1" x14ac:dyDescent="0.3">
      <c r="C97" s="3"/>
      <c r="D97" s="3"/>
      <c r="E97" s="3"/>
      <c r="F97" s="3"/>
      <c r="G97" s="3"/>
      <c r="H97" s="3"/>
      <c r="I97" s="3"/>
      <c r="K97" s="47" t="s">
        <v>121</v>
      </c>
      <c r="L97" s="88" t="s">
        <v>94</v>
      </c>
      <c r="M97" s="533"/>
      <c r="N97" s="95">
        <v>1.6379999999999999</v>
      </c>
      <c r="O97" s="96">
        <v>4.3209999999999997</v>
      </c>
      <c r="P97" s="97">
        <v>8.7360000000000007</v>
      </c>
      <c r="Q97" s="150">
        <f>P97*4+O97*9+N97*4</f>
        <v>80.384999999999991</v>
      </c>
      <c r="R97" s="256"/>
      <c r="S97" s="100" t="s">
        <v>69</v>
      </c>
    </row>
    <row r="98" spans="1:19" ht="15.75" thickBot="1" x14ac:dyDescent="0.3">
      <c r="A98" s="11" t="s">
        <v>4</v>
      </c>
      <c r="B98" s="12"/>
      <c r="C98" s="13" t="s">
        <v>5</v>
      </c>
      <c r="D98" s="14" t="s">
        <v>6</v>
      </c>
      <c r="E98" s="14"/>
      <c r="F98" s="14"/>
      <c r="G98" s="15" t="s">
        <v>7</v>
      </c>
      <c r="H98" s="16" t="s">
        <v>8</v>
      </c>
      <c r="I98" s="17" t="s">
        <v>9</v>
      </c>
      <c r="K98" s="498"/>
      <c r="L98" s="51" t="s">
        <v>50</v>
      </c>
      <c r="M98" s="41">
        <v>200</v>
      </c>
      <c r="N98" s="42">
        <v>1</v>
      </c>
      <c r="O98" s="43">
        <v>0</v>
      </c>
      <c r="P98" s="43">
        <v>20.92</v>
      </c>
      <c r="Q98" s="159">
        <f>P98*4+O98*9+N98*4</f>
        <v>87.68</v>
      </c>
      <c r="R98" s="499">
        <v>34</v>
      </c>
      <c r="S98" s="53" t="s">
        <v>51</v>
      </c>
    </row>
    <row r="99" spans="1:19" x14ac:dyDescent="0.25">
      <c r="A99" s="18" t="s">
        <v>10</v>
      </c>
      <c r="B99" s="19" t="s">
        <v>11</v>
      </c>
      <c r="C99" s="20" t="s">
        <v>12</v>
      </c>
      <c r="D99" s="21" t="s">
        <v>13</v>
      </c>
      <c r="E99" s="21" t="s">
        <v>14</v>
      </c>
      <c r="F99" s="21" t="s">
        <v>15</v>
      </c>
      <c r="G99" s="22" t="s">
        <v>16</v>
      </c>
      <c r="H99" s="23" t="s">
        <v>17</v>
      </c>
      <c r="I99" s="24" t="s">
        <v>18</v>
      </c>
      <c r="K99" s="498"/>
      <c r="L99" s="51" t="s">
        <v>33</v>
      </c>
      <c r="M99" s="41">
        <v>70</v>
      </c>
      <c r="N99" s="158">
        <v>3.57</v>
      </c>
      <c r="O99" s="43">
        <v>0.59499999999999997</v>
      </c>
      <c r="P99" s="43">
        <v>33.104999999999997</v>
      </c>
      <c r="Q99" s="159">
        <f t="shared" ref="Q99" si="23">P99*4+O99*9+N99*4</f>
        <v>152.05499999999998</v>
      </c>
      <c r="R99" s="45">
        <v>31</v>
      </c>
      <c r="S99" s="53" t="s">
        <v>34</v>
      </c>
    </row>
    <row r="100" spans="1:19" ht="15.75" thickBot="1" x14ac:dyDescent="0.3">
      <c r="A100" s="402"/>
      <c r="B100" s="26"/>
      <c r="C100" s="381"/>
      <c r="D100" s="28" t="s">
        <v>19</v>
      </c>
      <c r="E100" s="28" t="s">
        <v>20</v>
      </c>
      <c r="F100" s="28" t="s">
        <v>21</v>
      </c>
      <c r="G100" s="29" t="s">
        <v>22</v>
      </c>
      <c r="H100" s="30" t="s">
        <v>23</v>
      </c>
      <c r="I100" s="31" t="s">
        <v>24</v>
      </c>
      <c r="K100" s="498"/>
      <c r="L100" s="51" t="s">
        <v>52</v>
      </c>
      <c r="M100" s="62">
        <v>40</v>
      </c>
      <c r="N100" s="488">
        <v>2.2599999999999998</v>
      </c>
      <c r="O100" s="385">
        <v>0.48</v>
      </c>
      <c r="P100" s="385">
        <v>16.739999999999998</v>
      </c>
      <c r="Q100" s="159">
        <f>P100*4+O100*9+N100*4</f>
        <v>80.319999999999993</v>
      </c>
      <c r="R100" s="48">
        <v>32</v>
      </c>
      <c r="S100" s="53" t="s">
        <v>34</v>
      </c>
    </row>
    <row r="101" spans="1:19" ht="15.75" thickBot="1" x14ac:dyDescent="0.3">
      <c r="A101" s="200" t="s">
        <v>26</v>
      </c>
      <c r="B101" s="403" t="s">
        <v>124</v>
      </c>
      <c r="C101" s="171" t="s">
        <v>178</v>
      </c>
      <c r="D101" s="42">
        <v>9.0809999999999995</v>
      </c>
      <c r="E101" s="43">
        <v>8.8550000000000004</v>
      </c>
      <c r="F101" s="43">
        <v>12.94</v>
      </c>
      <c r="G101" s="44">
        <f t="shared" ref="G101:G106" si="24">F101*4+E101*9+D101*4</f>
        <v>167.779</v>
      </c>
      <c r="H101" s="436">
        <v>17</v>
      </c>
      <c r="I101" s="442" t="s">
        <v>126</v>
      </c>
      <c r="K101" s="391" t="s">
        <v>53</v>
      </c>
      <c r="L101" s="102"/>
      <c r="M101" s="103"/>
      <c r="N101" s="445">
        <f>SUM(N94:N100)</f>
        <v>25.989999999999995</v>
      </c>
      <c r="O101" s="429">
        <f>SUM(O94:O100)</f>
        <v>28.169999999999998</v>
      </c>
      <c r="P101" s="429">
        <f>SUM(P94:P100)</f>
        <v>120.50099999999999</v>
      </c>
      <c r="Q101" s="500">
        <f>SUM(Q94:Q100)</f>
        <v>839.49400000000014</v>
      </c>
      <c r="R101" s="107" t="s">
        <v>40</v>
      </c>
      <c r="S101" s="76"/>
    </row>
    <row r="102" spans="1:19" ht="15.75" thickBot="1" x14ac:dyDescent="0.3">
      <c r="A102" s="47" t="s">
        <v>110</v>
      </c>
      <c r="B102" s="443" t="s">
        <v>240</v>
      </c>
      <c r="C102" s="258" t="s">
        <v>325</v>
      </c>
      <c r="D102" s="125">
        <v>2.8940000000000001</v>
      </c>
      <c r="E102" s="126">
        <v>8.5500000000000007</v>
      </c>
      <c r="F102" s="127">
        <v>16.79</v>
      </c>
      <c r="G102" s="140">
        <f t="shared" si="24"/>
        <v>155.68600000000001</v>
      </c>
      <c r="H102" s="48">
        <v>7</v>
      </c>
      <c r="I102" s="49" t="s">
        <v>242</v>
      </c>
      <c r="K102" s="396" t="s">
        <v>56</v>
      </c>
      <c r="L102" s="116"/>
      <c r="M102" s="397"/>
      <c r="N102" s="524">
        <v>31.5</v>
      </c>
      <c r="O102" s="525">
        <v>32.200000000000003</v>
      </c>
      <c r="P102" s="526">
        <v>134.05000000000001</v>
      </c>
      <c r="Q102" s="119">
        <v>952</v>
      </c>
      <c r="R102" s="401" t="s">
        <v>55</v>
      </c>
      <c r="S102" s="83">
        <f>M94+M98+M99+M100+100+20+120+60</f>
        <v>860</v>
      </c>
    </row>
    <row r="103" spans="1:19" ht="16.5" thickBot="1" x14ac:dyDescent="0.3">
      <c r="A103" s="50" t="s">
        <v>32</v>
      </c>
      <c r="B103" s="259" t="s">
        <v>243</v>
      </c>
      <c r="C103" s="279"/>
      <c r="D103" s="95">
        <v>1.365</v>
      </c>
      <c r="E103" s="96">
        <v>3.5939999999999999</v>
      </c>
      <c r="F103" s="97">
        <v>7.2729999999999997</v>
      </c>
      <c r="G103" s="150">
        <f t="shared" si="24"/>
        <v>66.897999999999996</v>
      </c>
      <c r="H103" s="99"/>
      <c r="I103" s="100"/>
      <c r="M103" s="3"/>
      <c r="N103" s="3"/>
      <c r="O103" s="3"/>
      <c r="P103" s="3"/>
      <c r="Q103" s="3"/>
      <c r="R103" s="3"/>
      <c r="S103" s="3"/>
    </row>
    <row r="104" spans="1:19" ht="15.75" thickBot="1" x14ac:dyDescent="0.3">
      <c r="A104" s="54" t="s">
        <v>249</v>
      </c>
      <c r="B104" s="259" t="s">
        <v>50</v>
      </c>
      <c r="C104" s="439">
        <v>200</v>
      </c>
      <c r="D104" s="42">
        <v>1</v>
      </c>
      <c r="E104" s="43">
        <v>0</v>
      </c>
      <c r="F104" s="43">
        <v>20.92</v>
      </c>
      <c r="G104" s="159">
        <f t="shared" si="24"/>
        <v>87.68</v>
      </c>
      <c r="H104" s="45">
        <v>27</v>
      </c>
      <c r="I104" s="53" t="s">
        <v>51</v>
      </c>
      <c r="K104" s="11" t="s">
        <v>4</v>
      </c>
      <c r="L104" s="12"/>
      <c r="M104" s="13" t="s">
        <v>5</v>
      </c>
      <c r="N104" s="14" t="s">
        <v>6</v>
      </c>
      <c r="O104" s="14"/>
      <c r="P104" s="14"/>
      <c r="Q104" s="15" t="s">
        <v>7</v>
      </c>
      <c r="R104" s="16" t="s">
        <v>8</v>
      </c>
      <c r="S104" s="17" t="s">
        <v>9</v>
      </c>
    </row>
    <row r="105" spans="1:19" x14ac:dyDescent="0.25">
      <c r="A105" s="77"/>
      <c r="B105" s="169" t="s">
        <v>33</v>
      </c>
      <c r="C105" s="41">
        <v>50</v>
      </c>
      <c r="D105" s="42">
        <v>2.5499999999999998</v>
      </c>
      <c r="E105" s="43">
        <v>0.42499999999999999</v>
      </c>
      <c r="F105" s="43">
        <v>23.074999999999999</v>
      </c>
      <c r="G105" s="44">
        <f t="shared" si="24"/>
        <v>106.325</v>
      </c>
      <c r="H105" s="45">
        <v>24</v>
      </c>
      <c r="I105" s="53" t="s">
        <v>34</v>
      </c>
      <c r="K105" s="18" t="s">
        <v>10</v>
      </c>
      <c r="L105" s="19" t="s">
        <v>11</v>
      </c>
      <c r="M105" s="20" t="s">
        <v>12</v>
      </c>
      <c r="N105" s="21" t="s">
        <v>13</v>
      </c>
      <c r="O105" s="21" t="s">
        <v>14</v>
      </c>
      <c r="P105" s="21" t="s">
        <v>15</v>
      </c>
      <c r="Q105" s="22" t="s">
        <v>16</v>
      </c>
      <c r="R105" s="23" t="s">
        <v>17</v>
      </c>
      <c r="S105" s="24" t="s">
        <v>18</v>
      </c>
    </row>
    <row r="106" spans="1:19" ht="15.75" thickBot="1" x14ac:dyDescent="0.3">
      <c r="A106" s="161"/>
      <c r="B106" s="61" t="s">
        <v>52</v>
      </c>
      <c r="C106" s="62">
        <v>40</v>
      </c>
      <c r="D106" s="42">
        <v>2.2599999999999998</v>
      </c>
      <c r="E106" s="43">
        <v>0.48</v>
      </c>
      <c r="F106" s="43">
        <v>16.739999999999998</v>
      </c>
      <c r="G106" s="44">
        <f t="shared" si="24"/>
        <v>80.319999999999993</v>
      </c>
      <c r="H106" s="48">
        <v>25</v>
      </c>
      <c r="I106" s="49" t="s">
        <v>34</v>
      </c>
      <c r="K106" s="25"/>
      <c r="L106" s="26"/>
      <c r="M106" s="381"/>
      <c r="N106" s="28" t="s">
        <v>19</v>
      </c>
      <c r="O106" s="28" t="s">
        <v>20</v>
      </c>
      <c r="P106" s="28" t="s">
        <v>21</v>
      </c>
      <c r="Q106" s="29" t="s">
        <v>22</v>
      </c>
      <c r="R106" s="228" t="s">
        <v>23</v>
      </c>
      <c r="S106" s="24" t="s">
        <v>24</v>
      </c>
    </row>
    <row r="107" spans="1:19" ht="15.75" thickBot="1" x14ac:dyDescent="0.3">
      <c r="A107" s="391" t="s">
        <v>39</v>
      </c>
      <c r="B107" s="102"/>
      <c r="C107" s="103"/>
      <c r="D107" s="178">
        <f>SUM(D101:D106)</f>
        <v>19.149999999999999</v>
      </c>
      <c r="E107" s="429">
        <f>SUM(E101:E106)</f>
        <v>21.904000000000003</v>
      </c>
      <c r="F107" s="429">
        <f>SUM(F101:F106)</f>
        <v>97.738</v>
      </c>
      <c r="G107" s="446">
        <f>SUM(G101:G106)</f>
        <v>664.6880000000001</v>
      </c>
      <c r="H107" s="395" t="s">
        <v>40</v>
      </c>
      <c r="I107" s="76"/>
      <c r="K107" s="200" t="s">
        <v>26</v>
      </c>
      <c r="L107" s="51" t="s">
        <v>290</v>
      </c>
      <c r="M107" s="431">
        <v>250</v>
      </c>
      <c r="N107" s="269">
        <v>4.883</v>
      </c>
      <c r="O107" s="270">
        <v>6.2130000000000001</v>
      </c>
      <c r="P107" s="269">
        <v>8.2650000000000006</v>
      </c>
      <c r="Q107" s="44">
        <f>P107*4+O107*9+N107*4</f>
        <v>108.509</v>
      </c>
      <c r="R107" s="501">
        <v>8</v>
      </c>
      <c r="S107" s="387" t="s">
        <v>134</v>
      </c>
    </row>
    <row r="108" spans="1:19" ht="15.75" thickBot="1" x14ac:dyDescent="0.3">
      <c r="A108" s="396" t="s">
        <v>56</v>
      </c>
      <c r="B108" s="116"/>
      <c r="C108" s="397"/>
      <c r="D108" s="524">
        <v>22.5</v>
      </c>
      <c r="E108" s="525">
        <v>23</v>
      </c>
      <c r="F108" s="525">
        <v>95.75</v>
      </c>
      <c r="G108" s="525">
        <v>680</v>
      </c>
      <c r="H108" s="401" t="s">
        <v>55</v>
      </c>
      <c r="I108" s="83">
        <f>C104+C105+C106+90+20+150+50</f>
        <v>600</v>
      </c>
      <c r="K108" s="47" t="s">
        <v>110</v>
      </c>
      <c r="L108" s="51" t="s">
        <v>245</v>
      </c>
      <c r="M108" s="41" t="s">
        <v>125</v>
      </c>
      <c r="N108" s="384">
        <v>10.516</v>
      </c>
      <c r="O108" s="385">
        <v>12.451000000000001</v>
      </c>
      <c r="P108" s="43">
        <v>10.023999999999999</v>
      </c>
      <c r="Q108" s="44">
        <f t="shared" ref="Q108:Q109" si="25">P108*4+O108*9+N108*4</f>
        <v>194.21899999999999</v>
      </c>
      <c r="R108" s="502">
        <v>19</v>
      </c>
      <c r="S108" s="53" t="s">
        <v>65</v>
      </c>
    </row>
    <row r="109" spans="1:19" ht="15.75" x14ac:dyDescent="0.25">
      <c r="C109" s="3"/>
      <c r="D109" s="3"/>
      <c r="E109" s="3"/>
      <c r="F109" s="3"/>
      <c r="G109" s="3"/>
      <c r="H109" s="3"/>
      <c r="I109" s="3"/>
      <c r="K109" s="477" t="s">
        <v>32</v>
      </c>
      <c r="L109" s="448" t="s">
        <v>247</v>
      </c>
      <c r="M109" s="56" t="s">
        <v>308</v>
      </c>
      <c r="N109" s="125">
        <v>3.7</v>
      </c>
      <c r="O109" s="126">
        <v>5.5179999999999998</v>
      </c>
      <c r="P109" s="127">
        <v>26.922000000000001</v>
      </c>
      <c r="Q109" s="140">
        <f t="shared" si="25"/>
        <v>172.15</v>
      </c>
      <c r="R109" s="435">
        <v>25</v>
      </c>
      <c r="S109" s="49" t="s">
        <v>136</v>
      </c>
    </row>
    <row r="110" spans="1:19" x14ac:dyDescent="0.25">
      <c r="C110" s="3"/>
      <c r="D110" s="3"/>
      <c r="E110" s="3"/>
      <c r="F110" s="3"/>
      <c r="G110" s="3"/>
      <c r="H110" s="3"/>
      <c r="I110" s="3"/>
      <c r="K110" s="47" t="s">
        <v>132</v>
      </c>
      <c r="L110" s="88" t="s">
        <v>137</v>
      </c>
      <c r="M110" s="292"/>
      <c r="N110" s="95">
        <v>2.133</v>
      </c>
      <c r="O110" s="96">
        <v>1.2470000000000001</v>
      </c>
      <c r="P110" s="97">
        <v>20.585000000000001</v>
      </c>
      <c r="Q110" s="150">
        <f>P110*4+O110*9+N110*4</f>
        <v>102.095</v>
      </c>
      <c r="R110" s="418"/>
      <c r="S110" s="100" t="s">
        <v>69</v>
      </c>
    </row>
    <row r="111" spans="1:19" x14ac:dyDescent="0.25">
      <c r="A111" s="1"/>
      <c r="B111" s="1" t="s">
        <v>313</v>
      </c>
      <c r="C111" s="3"/>
      <c r="D111" s="3"/>
      <c r="E111" s="3"/>
      <c r="F111" s="3"/>
      <c r="G111" s="3"/>
      <c r="H111" s="3"/>
      <c r="I111" s="5">
        <v>0.25</v>
      </c>
      <c r="K111" s="498"/>
      <c r="L111" s="51" t="s">
        <v>50</v>
      </c>
      <c r="M111" s="41">
        <v>200</v>
      </c>
      <c r="N111" s="42">
        <v>1</v>
      </c>
      <c r="O111" s="43">
        <v>0</v>
      </c>
      <c r="P111" s="43">
        <v>20.92</v>
      </c>
      <c r="Q111" s="159">
        <f>P111*4+O111*9+N111*4</f>
        <v>87.68</v>
      </c>
      <c r="R111" s="503">
        <v>34</v>
      </c>
      <c r="S111" s="53" t="s">
        <v>51</v>
      </c>
    </row>
    <row r="112" spans="1:19" ht="15.75" x14ac:dyDescent="0.25">
      <c r="C112" s="371" t="s">
        <v>326</v>
      </c>
      <c r="D112" s="3"/>
      <c r="E112" s="3"/>
      <c r="F112" s="3"/>
      <c r="G112" s="3"/>
      <c r="H112" s="3"/>
      <c r="I112" s="3"/>
      <c r="K112" s="77"/>
      <c r="L112" s="51" t="s">
        <v>33</v>
      </c>
      <c r="M112" s="41">
        <v>70</v>
      </c>
      <c r="N112" s="158">
        <v>3.57</v>
      </c>
      <c r="O112" s="43">
        <v>0.59499999999999997</v>
      </c>
      <c r="P112" s="43">
        <v>33.104999999999997</v>
      </c>
      <c r="Q112" s="159">
        <f t="shared" ref="Q112" si="26">P112*4+O112*9+N112*4</f>
        <v>152.05499999999998</v>
      </c>
      <c r="R112" s="52">
        <v>31</v>
      </c>
      <c r="S112" s="53" t="s">
        <v>34</v>
      </c>
    </row>
    <row r="113" spans="1:19" ht="15.75" thickBot="1" x14ac:dyDescent="0.3">
      <c r="A113" s="248" t="s">
        <v>314</v>
      </c>
      <c r="C113" s="3"/>
      <c r="D113" s="3"/>
      <c r="E113" s="3"/>
      <c r="F113" s="372" t="s">
        <v>2</v>
      </c>
      <c r="G113" s="4" t="s">
        <v>216</v>
      </c>
      <c r="H113" s="4"/>
      <c r="I113" s="4"/>
      <c r="K113" s="77"/>
      <c r="L113" s="51" t="s">
        <v>52</v>
      </c>
      <c r="M113" s="56">
        <v>40</v>
      </c>
      <c r="N113" s="539">
        <v>2.2599999999999998</v>
      </c>
      <c r="O113" s="540">
        <v>0.48</v>
      </c>
      <c r="P113" s="540">
        <v>16.739999999999998</v>
      </c>
      <c r="Q113" s="159">
        <f>P113*4+O113*9+N113*4</f>
        <v>80.319999999999993</v>
      </c>
      <c r="R113" s="435">
        <v>32</v>
      </c>
      <c r="S113" s="53" t="s">
        <v>34</v>
      </c>
    </row>
    <row r="114" spans="1:19" ht="15.75" thickBot="1" x14ac:dyDescent="0.3">
      <c r="C114" s="3"/>
      <c r="D114" s="3"/>
      <c r="E114" s="3"/>
      <c r="F114" s="3"/>
      <c r="G114" s="3"/>
      <c r="H114" s="3"/>
      <c r="I114" s="3"/>
      <c r="K114" s="391" t="s">
        <v>53</v>
      </c>
      <c r="L114" s="102"/>
      <c r="M114" s="109"/>
      <c r="N114" s="428">
        <f>SUM(N107:N113)</f>
        <v>28.061999999999998</v>
      </c>
      <c r="O114" s="179">
        <f>SUM(O107:O113)</f>
        <v>26.504000000000001</v>
      </c>
      <c r="P114" s="429">
        <f>SUM(P107:P113)</f>
        <v>136.56100000000001</v>
      </c>
      <c r="Q114" s="505">
        <f>SUM(Q107:Q113)</f>
        <v>897.02800000000002</v>
      </c>
      <c r="R114" s="107" t="s">
        <v>40</v>
      </c>
      <c r="S114" s="76"/>
    </row>
    <row r="115" spans="1:19" ht="15.75" thickBot="1" x14ac:dyDescent="0.3">
      <c r="A115" s="11" t="s">
        <v>4</v>
      </c>
      <c r="B115" s="12"/>
      <c r="C115" s="13" t="s">
        <v>5</v>
      </c>
      <c r="D115" s="14" t="s">
        <v>6</v>
      </c>
      <c r="E115" s="14"/>
      <c r="F115" s="14"/>
      <c r="G115" s="15" t="s">
        <v>7</v>
      </c>
      <c r="H115" s="16" t="s">
        <v>8</v>
      </c>
      <c r="I115" s="17" t="s">
        <v>9</v>
      </c>
      <c r="K115" s="396" t="s">
        <v>56</v>
      </c>
      <c r="L115" s="116"/>
      <c r="M115" s="117"/>
      <c r="N115" s="524">
        <v>31.5</v>
      </c>
      <c r="O115" s="525">
        <v>32.200000000000003</v>
      </c>
      <c r="P115" s="526">
        <v>134.05000000000001</v>
      </c>
      <c r="Q115" s="119">
        <v>952</v>
      </c>
      <c r="R115" s="401" t="s">
        <v>55</v>
      </c>
      <c r="S115" s="83">
        <f>M107+M111+M112+M113+100+20+90+90</f>
        <v>860</v>
      </c>
    </row>
    <row r="116" spans="1:19" x14ac:dyDescent="0.25">
      <c r="A116" s="18" t="s">
        <v>10</v>
      </c>
      <c r="B116" s="19" t="s">
        <v>11</v>
      </c>
      <c r="C116" s="20" t="s">
        <v>12</v>
      </c>
      <c r="D116" s="21" t="s">
        <v>13</v>
      </c>
      <c r="E116" s="21" t="s">
        <v>14</v>
      </c>
      <c r="F116" s="21" t="s">
        <v>15</v>
      </c>
      <c r="G116" s="22" t="s">
        <v>16</v>
      </c>
      <c r="H116" s="23" t="s">
        <v>17</v>
      </c>
      <c r="I116" s="24" t="s">
        <v>18</v>
      </c>
      <c r="M116" s="3"/>
      <c r="N116" s="3"/>
      <c r="O116" s="3"/>
      <c r="P116" s="3"/>
      <c r="Q116" s="3"/>
      <c r="R116" s="3"/>
      <c r="S116" s="3"/>
    </row>
    <row r="117" spans="1:19" ht="15.75" thickBot="1" x14ac:dyDescent="0.3">
      <c r="A117" s="402"/>
      <c r="B117" s="26"/>
      <c r="C117" s="381"/>
      <c r="D117" s="28" t="s">
        <v>19</v>
      </c>
      <c r="E117" s="28" t="s">
        <v>20</v>
      </c>
      <c r="F117" s="28" t="s">
        <v>21</v>
      </c>
      <c r="G117" s="29" t="s">
        <v>22</v>
      </c>
      <c r="H117" s="30" t="s">
        <v>23</v>
      </c>
      <c r="I117" s="31" t="s">
        <v>24</v>
      </c>
      <c r="L117" s="370"/>
      <c r="M117" s="3"/>
      <c r="R117" s="5"/>
    </row>
    <row r="118" spans="1:19" x14ac:dyDescent="0.25">
      <c r="A118" s="200" t="s">
        <v>26</v>
      </c>
      <c r="B118" s="433" t="s">
        <v>245</v>
      </c>
      <c r="C118" s="33" t="s">
        <v>125</v>
      </c>
      <c r="D118" s="42">
        <v>11.516</v>
      </c>
      <c r="E118" s="43">
        <v>13.951000000000001</v>
      </c>
      <c r="F118" s="43">
        <v>15.023999999999999</v>
      </c>
      <c r="G118" s="44">
        <f>F118*4+E118*9+D118*4</f>
        <v>231.71899999999999</v>
      </c>
      <c r="H118" s="37">
        <v>20</v>
      </c>
      <c r="I118" s="447" t="s">
        <v>65</v>
      </c>
      <c r="L118" s="224" t="s">
        <v>265</v>
      </c>
      <c r="P118" s="3"/>
      <c r="R118" s="3"/>
      <c r="S118" s="5">
        <v>0.35</v>
      </c>
    </row>
    <row r="119" spans="1:19" x14ac:dyDescent="0.25">
      <c r="A119" s="47" t="s">
        <v>110</v>
      </c>
      <c r="B119" s="448" t="s">
        <v>247</v>
      </c>
      <c r="C119" s="56" t="s">
        <v>327</v>
      </c>
      <c r="D119" s="125">
        <v>5.1007999999999996</v>
      </c>
      <c r="E119" s="563">
        <v>5.9669999999999996</v>
      </c>
      <c r="F119" s="561">
        <v>39.051600000000001</v>
      </c>
      <c r="G119" s="140">
        <f t="shared" ref="G119" si="27">F119*4+E119*9+D119*4</f>
        <v>230.3126</v>
      </c>
      <c r="H119" s="435">
        <v>9</v>
      </c>
      <c r="I119" s="49" t="s">
        <v>136</v>
      </c>
      <c r="L119" s="2" t="s">
        <v>266</v>
      </c>
      <c r="M119" s="3"/>
      <c r="P119" s="2"/>
      <c r="Q119" s="2"/>
      <c r="R119" s="4"/>
      <c r="S119" s="4"/>
    </row>
    <row r="120" spans="1:19" ht="15.75" x14ac:dyDescent="0.25">
      <c r="A120" s="50" t="s">
        <v>32</v>
      </c>
      <c r="B120" s="88" t="s">
        <v>137</v>
      </c>
      <c r="C120" s="292"/>
      <c r="D120" s="95">
        <v>1.304</v>
      </c>
      <c r="E120" s="96">
        <v>5.6000000000000001E-2</v>
      </c>
      <c r="F120" s="97">
        <v>12.58</v>
      </c>
      <c r="G120" s="150">
        <f>F120*4+E120*9+D120*4</f>
        <v>56.04</v>
      </c>
      <c r="H120" s="418"/>
      <c r="I120" s="100" t="s">
        <v>69</v>
      </c>
      <c r="K120" s="9" t="s">
        <v>215</v>
      </c>
      <c r="L120" s="4"/>
      <c r="N120" s="3"/>
      <c r="O120" s="9" t="s">
        <v>2</v>
      </c>
      <c r="P120" s="3"/>
      <c r="Q120" s="10" t="s">
        <v>267</v>
      </c>
      <c r="R120" s="4"/>
      <c r="S120" s="4"/>
    </row>
    <row r="121" spans="1:19" ht="21.75" thickBot="1" x14ac:dyDescent="0.4">
      <c r="A121" s="54" t="s">
        <v>255</v>
      </c>
      <c r="B121" s="294" t="s">
        <v>328</v>
      </c>
      <c r="C121" s="41">
        <v>200</v>
      </c>
      <c r="D121" s="42">
        <v>0.66200000000000003</v>
      </c>
      <c r="E121" s="43">
        <v>0.09</v>
      </c>
      <c r="F121" s="43">
        <v>32.85</v>
      </c>
      <c r="G121" s="44">
        <f t="shared" ref="G121:G122" si="28">F121*4+E121*9+D121*4</f>
        <v>134.858</v>
      </c>
      <c r="H121" s="418">
        <v>28</v>
      </c>
      <c r="I121" s="53" t="s">
        <v>71</v>
      </c>
      <c r="M121" s="373" t="s">
        <v>1</v>
      </c>
      <c r="N121" s="3"/>
      <c r="O121" s="3"/>
      <c r="P121" s="3"/>
      <c r="Q121" s="2"/>
      <c r="R121" s="4"/>
      <c r="S121" s="4"/>
    </row>
    <row r="122" spans="1:19" ht="15.75" thickBot="1" x14ac:dyDescent="0.3">
      <c r="A122" s="77"/>
      <c r="B122" s="90" t="s">
        <v>33</v>
      </c>
      <c r="C122" s="41">
        <v>45</v>
      </c>
      <c r="D122" s="564">
        <v>2.3624999999999998</v>
      </c>
      <c r="E122" s="43">
        <v>0.38</v>
      </c>
      <c r="F122" s="43">
        <v>20.768000000000001</v>
      </c>
      <c r="G122" s="44">
        <f t="shared" si="28"/>
        <v>95.942000000000007</v>
      </c>
      <c r="H122" s="45">
        <v>24</v>
      </c>
      <c r="I122" s="53" t="s">
        <v>34</v>
      </c>
      <c r="K122" s="11" t="s">
        <v>4</v>
      </c>
      <c r="L122" s="12"/>
      <c r="M122" s="13" t="s">
        <v>5</v>
      </c>
      <c r="N122" s="14" t="s">
        <v>6</v>
      </c>
      <c r="O122" s="14"/>
      <c r="P122" s="14"/>
      <c r="Q122" s="15" t="s">
        <v>7</v>
      </c>
      <c r="R122" s="16" t="s">
        <v>8</v>
      </c>
      <c r="S122" s="17" t="s">
        <v>9</v>
      </c>
    </row>
    <row r="123" spans="1:19" ht="15.75" thickBot="1" x14ac:dyDescent="0.3">
      <c r="A123" s="77"/>
      <c r="B123" s="181" t="s">
        <v>52</v>
      </c>
      <c r="C123" s="56">
        <v>30</v>
      </c>
      <c r="D123" s="57">
        <v>1.6950000000000001</v>
      </c>
      <c r="E123" s="58">
        <v>0.36</v>
      </c>
      <c r="F123" s="58">
        <v>12.555</v>
      </c>
      <c r="G123" s="159">
        <f>F123*4+E123*9+D123*4</f>
        <v>60.24</v>
      </c>
      <c r="H123" s="48">
        <v>25</v>
      </c>
      <c r="I123" s="49" t="s">
        <v>34</v>
      </c>
      <c r="K123" s="18" t="s">
        <v>10</v>
      </c>
      <c r="L123" s="19" t="s">
        <v>11</v>
      </c>
      <c r="M123" s="20" t="s">
        <v>12</v>
      </c>
      <c r="N123" s="21" t="s">
        <v>13</v>
      </c>
      <c r="O123" s="21" t="s">
        <v>14</v>
      </c>
      <c r="P123" s="21" t="s">
        <v>15</v>
      </c>
      <c r="Q123" s="22" t="s">
        <v>16</v>
      </c>
      <c r="R123" s="23" t="s">
        <v>17</v>
      </c>
      <c r="S123" s="24" t="s">
        <v>18</v>
      </c>
    </row>
    <row r="124" spans="1:19" ht="15.75" thickBot="1" x14ac:dyDescent="0.3">
      <c r="A124" s="391" t="s">
        <v>39</v>
      </c>
      <c r="B124" s="102"/>
      <c r="C124" s="103"/>
      <c r="D124" s="428">
        <f>SUM(D118:D123)</f>
        <v>22.640299999999996</v>
      </c>
      <c r="E124" s="429">
        <f>SUM(E118:E123)</f>
        <v>20.803999999999998</v>
      </c>
      <c r="F124" s="429">
        <f>SUM(F118:F123)</f>
        <v>132.82860000000002</v>
      </c>
      <c r="G124" s="179">
        <f>SUM(G118:G123)</f>
        <v>809.11159999999995</v>
      </c>
      <c r="H124" s="395" t="s">
        <v>40</v>
      </c>
      <c r="I124" s="76"/>
      <c r="K124" s="25"/>
      <c r="L124" s="26"/>
      <c r="M124" s="381"/>
      <c r="N124" s="28" t="s">
        <v>19</v>
      </c>
      <c r="O124" s="28" t="s">
        <v>20</v>
      </c>
      <c r="P124" s="28" t="s">
        <v>21</v>
      </c>
      <c r="Q124" s="29" t="s">
        <v>22</v>
      </c>
      <c r="R124" s="228" t="s">
        <v>23</v>
      </c>
      <c r="S124" s="24" t="s">
        <v>24</v>
      </c>
    </row>
    <row r="125" spans="1:19" ht="15.75" thickBot="1" x14ac:dyDescent="0.3">
      <c r="A125" s="396" t="s">
        <v>56</v>
      </c>
      <c r="B125" s="116"/>
      <c r="C125" s="397"/>
      <c r="D125" s="524">
        <v>22.5</v>
      </c>
      <c r="E125" s="525">
        <v>23</v>
      </c>
      <c r="F125" s="525">
        <v>95.75</v>
      </c>
      <c r="G125" s="525">
        <v>680</v>
      </c>
      <c r="H125" s="401" t="s">
        <v>55</v>
      </c>
      <c r="I125" s="83">
        <f>C121+C122+C123+100+20+125+55</f>
        <v>575</v>
      </c>
      <c r="K125" s="200" t="s">
        <v>26</v>
      </c>
      <c r="L125" s="88" t="s">
        <v>309</v>
      </c>
      <c r="M125" s="33">
        <v>250</v>
      </c>
      <c r="N125" s="284">
        <v>6.0670000000000002</v>
      </c>
      <c r="O125" s="269">
        <v>5.8550000000000004</v>
      </c>
      <c r="P125" s="285">
        <v>12.5</v>
      </c>
      <c r="Q125" s="159">
        <f>P125*4+O125*9+N125*4</f>
        <v>126.96300000000001</v>
      </c>
      <c r="R125" s="509">
        <v>9</v>
      </c>
      <c r="S125" s="510" t="s">
        <v>142</v>
      </c>
    </row>
    <row r="126" spans="1:19" ht="15.75" thickBot="1" x14ac:dyDescent="0.3">
      <c r="C126" s="3"/>
      <c r="D126" s="3"/>
      <c r="E126" s="3"/>
      <c r="F126" s="3"/>
      <c r="G126" s="3"/>
      <c r="H126" s="3"/>
      <c r="I126" s="3"/>
      <c r="K126" s="47" t="s">
        <v>110</v>
      </c>
      <c r="L126" s="90" t="s">
        <v>293</v>
      </c>
      <c r="M126" s="41">
        <v>180</v>
      </c>
      <c r="N126" s="454">
        <v>3.0430000000000001</v>
      </c>
      <c r="O126" s="188">
        <v>13.1</v>
      </c>
      <c r="P126" s="188">
        <v>46.183</v>
      </c>
      <c r="Q126" s="159">
        <f>P126*4+O126*9+N126*4</f>
        <v>314.80400000000003</v>
      </c>
      <c r="R126" s="541">
        <v>22</v>
      </c>
      <c r="S126" s="511" t="s">
        <v>294</v>
      </c>
    </row>
    <row r="127" spans="1:19" ht="16.5" thickBot="1" x14ac:dyDescent="0.3">
      <c r="A127" s="11" t="s">
        <v>4</v>
      </c>
      <c r="B127" s="12"/>
      <c r="C127" s="13" t="s">
        <v>5</v>
      </c>
      <c r="D127" s="14" t="s">
        <v>6</v>
      </c>
      <c r="E127" s="14"/>
      <c r="F127" s="14"/>
      <c r="G127" s="15" t="s">
        <v>7</v>
      </c>
      <c r="H127" s="16" t="s">
        <v>8</v>
      </c>
      <c r="I127" s="17" t="s">
        <v>9</v>
      </c>
      <c r="K127" s="477" t="s">
        <v>32</v>
      </c>
      <c r="L127" s="183" t="s">
        <v>219</v>
      </c>
      <c r="M127" s="41">
        <v>100</v>
      </c>
      <c r="N127" s="405">
        <v>10.946</v>
      </c>
      <c r="O127" s="406">
        <v>9.5310000000000006</v>
      </c>
      <c r="P127" s="407">
        <v>9.2850000000000001</v>
      </c>
      <c r="Q127" s="59">
        <f t="shared" ref="Q127" si="29">P127*4+O127*9+N127*4</f>
        <v>166.703</v>
      </c>
      <c r="R127" s="157">
        <v>18</v>
      </c>
      <c r="S127" s="513" t="s">
        <v>221</v>
      </c>
    </row>
    <row r="128" spans="1:19" x14ac:dyDescent="0.25">
      <c r="A128" s="18" t="s">
        <v>10</v>
      </c>
      <c r="B128" s="19" t="s">
        <v>11</v>
      </c>
      <c r="C128" s="20" t="s">
        <v>12</v>
      </c>
      <c r="D128" s="21" t="s">
        <v>13</v>
      </c>
      <c r="E128" s="21" t="s">
        <v>14</v>
      </c>
      <c r="F128" s="21" t="s">
        <v>15</v>
      </c>
      <c r="G128" s="22" t="s">
        <v>16</v>
      </c>
      <c r="H128" s="23" t="s">
        <v>17</v>
      </c>
      <c r="I128" s="24" t="s">
        <v>18</v>
      </c>
      <c r="K128" s="47" t="s">
        <v>140</v>
      </c>
      <c r="L128" s="51" t="s">
        <v>74</v>
      </c>
      <c r="M128" s="41">
        <v>200</v>
      </c>
      <c r="N128" s="158">
        <v>3.8</v>
      </c>
      <c r="O128" s="43">
        <v>3</v>
      </c>
      <c r="P128" s="43">
        <v>23</v>
      </c>
      <c r="Q128" s="159">
        <f>P128*4+O128*9+N128*4</f>
        <v>134.19999999999999</v>
      </c>
      <c r="R128" s="131">
        <v>36</v>
      </c>
      <c r="S128" s="511" t="s">
        <v>75</v>
      </c>
    </row>
    <row r="129" spans="1:19" ht="15.75" thickBot="1" x14ac:dyDescent="0.3">
      <c r="A129" s="25"/>
      <c r="B129" s="26"/>
      <c r="C129" s="381"/>
      <c r="D129" s="28" t="s">
        <v>19</v>
      </c>
      <c r="E129" s="28" t="s">
        <v>20</v>
      </c>
      <c r="F129" s="28" t="s">
        <v>21</v>
      </c>
      <c r="G129" s="29" t="s">
        <v>22</v>
      </c>
      <c r="H129" s="30" t="s">
        <v>23</v>
      </c>
      <c r="I129" s="31" t="s">
        <v>24</v>
      </c>
      <c r="K129" s="77"/>
      <c r="L129" s="90" t="s">
        <v>256</v>
      </c>
      <c r="M129" s="41">
        <v>27</v>
      </c>
      <c r="N129" s="187">
        <v>1.1339999999999999</v>
      </c>
      <c r="O129" s="188">
        <v>0.46800000000000003</v>
      </c>
      <c r="P129" s="188">
        <v>10.8</v>
      </c>
      <c r="Q129" s="159">
        <f t="shared" ref="Q129:Q131" si="30">P129*4+O129*9+N129*4</f>
        <v>51.948000000000008</v>
      </c>
      <c r="R129" s="151">
        <v>30</v>
      </c>
      <c r="S129" s="511" t="s">
        <v>34</v>
      </c>
    </row>
    <row r="130" spans="1:19" x14ac:dyDescent="0.25">
      <c r="A130" s="200" t="s">
        <v>26</v>
      </c>
      <c r="B130" s="40" t="s">
        <v>253</v>
      </c>
      <c r="C130" s="383">
        <v>250</v>
      </c>
      <c r="D130" s="452">
        <v>6.0910000000000002</v>
      </c>
      <c r="E130" s="438">
        <v>12.72</v>
      </c>
      <c r="F130" s="438">
        <v>40.74</v>
      </c>
      <c r="G130" s="44">
        <f t="shared" ref="G130" si="31">F130*4+E130*9+D130*4</f>
        <v>301.80399999999997</v>
      </c>
      <c r="H130" s="436">
        <v>1</v>
      </c>
      <c r="I130" s="442" t="s">
        <v>28</v>
      </c>
      <c r="K130" s="77"/>
      <c r="L130" s="51" t="s">
        <v>33</v>
      </c>
      <c r="M130" s="41">
        <v>60</v>
      </c>
      <c r="N130" s="158">
        <v>3.06</v>
      </c>
      <c r="O130" s="43">
        <v>0.51</v>
      </c>
      <c r="P130" s="43">
        <v>30.09</v>
      </c>
      <c r="Q130" s="159">
        <f t="shared" si="30"/>
        <v>137.19</v>
      </c>
      <c r="R130" s="151">
        <v>31</v>
      </c>
      <c r="S130" s="511" t="s">
        <v>34</v>
      </c>
    </row>
    <row r="131" spans="1:19" ht="15.75" thickBot="1" x14ac:dyDescent="0.3">
      <c r="A131" s="47" t="s">
        <v>110</v>
      </c>
      <c r="B131" s="51" t="s">
        <v>74</v>
      </c>
      <c r="C131" s="41">
        <v>200</v>
      </c>
      <c r="D131" s="42">
        <v>3.8</v>
      </c>
      <c r="E131" s="43">
        <v>3</v>
      </c>
      <c r="F131" s="43">
        <v>23</v>
      </c>
      <c r="G131" s="44">
        <f>F131*4+E131*9+D131*4</f>
        <v>134.19999999999999</v>
      </c>
      <c r="H131" s="45">
        <v>29</v>
      </c>
      <c r="I131" s="53" t="s">
        <v>254</v>
      </c>
      <c r="K131" s="161"/>
      <c r="L131" s="51" t="s">
        <v>52</v>
      </c>
      <c r="M131" s="62">
        <v>50</v>
      </c>
      <c r="N131" s="384">
        <v>2.8250000000000002</v>
      </c>
      <c r="O131" s="385">
        <v>0.6</v>
      </c>
      <c r="P131" s="385">
        <v>20.925000000000001</v>
      </c>
      <c r="Q131" s="44">
        <f t="shared" si="30"/>
        <v>100.4</v>
      </c>
      <c r="R131" s="164">
        <v>32</v>
      </c>
      <c r="S131" s="511" t="s">
        <v>34</v>
      </c>
    </row>
    <row r="132" spans="1:19" ht="16.5" thickBot="1" x14ac:dyDescent="0.3">
      <c r="A132" s="50" t="s">
        <v>32</v>
      </c>
      <c r="B132" s="51" t="s">
        <v>111</v>
      </c>
      <c r="C132" s="41">
        <v>20</v>
      </c>
      <c r="D132" s="158">
        <v>5.3280000000000003</v>
      </c>
      <c r="E132" s="43">
        <v>4.5960000000000001</v>
      </c>
      <c r="F132" s="43">
        <v>0</v>
      </c>
      <c r="G132" s="159">
        <f t="shared" ref="G132" si="32">F132*4+E132*9+D132*4</f>
        <v>62.676000000000002</v>
      </c>
      <c r="H132" s="151">
        <v>22</v>
      </c>
      <c r="I132" s="234" t="s">
        <v>112</v>
      </c>
      <c r="K132" s="391" t="s">
        <v>53</v>
      </c>
      <c r="L132" s="102"/>
      <c r="M132" s="103"/>
      <c r="N132" s="428">
        <f>SUM(N125:N131)</f>
        <v>30.874999999999996</v>
      </c>
      <c r="O132" s="440">
        <f>SUM(O125:O131)</f>
        <v>33.064</v>
      </c>
      <c r="P132" s="430">
        <f>SUM(P125:P131)</f>
        <v>152.78300000000002</v>
      </c>
      <c r="Q132" s="514">
        <f>SUM(Q125:Q131)</f>
        <v>1032.2080000000001</v>
      </c>
      <c r="R132" s="107" t="s">
        <v>40</v>
      </c>
      <c r="S132" s="76"/>
    </row>
    <row r="133" spans="1:19" ht="15.75" thickBot="1" x14ac:dyDescent="0.3">
      <c r="A133" s="54" t="s">
        <v>259</v>
      </c>
      <c r="B133" s="51" t="s">
        <v>33</v>
      </c>
      <c r="C133" s="41">
        <v>50</v>
      </c>
      <c r="D133" s="42">
        <v>2.5499999999999998</v>
      </c>
      <c r="E133" s="43">
        <v>0.42499999999999999</v>
      </c>
      <c r="F133" s="43">
        <v>23.074999999999999</v>
      </c>
      <c r="G133" s="44">
        <f>F133*4+E133*9+D133*4</f>
        <v>106.325</v>
      </c>
      <c r="H133" s="45">
        <v>24</v>
      </c>
      <c r="I133" s="53" t="s">
        <v>34</v>
      </c>
      <c r="K133" s="396" t="s">
        <v>56</v>
      </c>
      <c r="L133" s="116"/>
      <c r="M133" s="397"/>
      <c r="N133" s="524">
        <v>31.5</v>
      </c>
      <c r="O133" s="525">
        <v>32.200000000000003</v>
      </c>
      <c r="P133" s="526">
        <v>134.05000000000001</v>
      </c>
      <c r="Q133" s="119">
        <v>952</v>
      </c>
      <c r="R133" s="401" t="s">
        <v>55</v>
      </c>
      <c r="S133" s="83">
        <f>M125+M126+M127+M128+M129+M130+M131</f>
        <v>867</v>
      </c>
    </row>
    <row r="134" spans="1:19" ht="15.75" thickBot="1" x14ac:dyDescent="0.3">
      <c r="A134" s="77"/>
      <c r="B134" s="55" t="s">
        <v>52</v>
      </c>
      <c r="C134" s="56">
        <v>30</v>
      </c>
      <c r="D134" s="57">
        <v>1.6950000000000001</v>
      </c>
      <c r="E134" s="58">
        <v>0.36</v>
      </c>
      <c r="F134" s="58">
        <v>12.555</v>
      </c>
      <c r="G134" s="44">
        <f>F134*4+E134*9+D134*4</f>
        <v>60.24</v>
      </c>
      <c r="H134" s="48">
        <v>25</v>
      </c>
      <c r="I134" s="49" t="s">
        <v>34</v>
      </c>
      <c r="M134" s="3"/>
      <c r="N134" s="3"/>
      <c r="O134" s="3"/>
      <c r="P134" s="3"/>
      <c r="Q134" s="3"/>
      <c r="R134" s="357"/>
      <c r="S134" s="357"/>
    </row>
    <row r="135" spans="1:19" ht="15.75" thickBot="1" x14ac:dyDescent="0.3">
      <c r="A135" s="77"/>
      <c r="B135" s="551" t="s">
        <v>37</v>
      </c>
      <c r="C135" s="552">
        <v>120</v>
      </c>
      <c r="D135" s="63">
        <v>0.48</v>
      </c>
      <c r="E135" s="64">
        <v>0.48</v>
      </c>
      <c r="F135" s="65">
        <v>11.76</v>
      </c>
      <c r="G135" s="140">
        <f t="shared" ref="G135" si="33">F135*4+E135*9+D135*4</f>
        <v>53.28</v>
      </c>
      <c r="H135" s="164">
        <v>26</v>
      </c>
      <c r="I135" s="165" t="s">
        <v>230</v>
      </c>
      <c r="K135" s="11" t="s">
        <v>4</v>
      </c>
      <c r="L135" s="12"/>
      <c r="M135" s="13" t="s">
        <v>5</v>
      </c>
      <c r="N135" s="14" t="s">
        <v>6</v>
      </c>
      <c r="O135" s="14"/>
      <c r="P135" s="14"/>
      <c r="Q135" s="15" t="s">
        <v>7</v>
      </c>
      <c r="R135" s="16" t="s">
        <v>8</v>
      </c>
      <c r="S135" s="17" t="s">
        <v>9</v>
      </c>
    </row>
    <row r="136" spans="1:19" ht="15.75" thickBot="1" x14ac:dyDescent="0.3">
      <c r="A136" s="101" t="s">
        <v>39</v>
      </c>
      <c r="B136" s="102"/>
      <c r="C136" s="103"/>
      <c r="D136" s="428">
        <f>SUM(D130:D135)</f>
        <v>19.944000000000003</v>
      </c>
      <c r="E136" s="440">
        <f>SUM(E130:E135)</f>
        <v>21.581000000000003</v>
      </c>
      <c r="F136" s="179">
        <f>SUM(F130:F135)</f>
        <v>111.13000000000001</v>
      </c>
      <c r="G136" s="440">
        <f>SUM(G130:G135)</f>
        <v>718.52499999999998</v>
      </c>
      <c r="H136" s="395" t="s">
        <v>40</v>
      </c>
      <c r="I136" s="76"/>
      <c r="K136" s="18" t="s">
        <v>10</v>
      </c>
      <c r="L136" s="19" t="s">
        <v>11</v>
      </c>
      <c r="M136" s="20" t="s">
        <v>12</v>
      </c>
      <c r="N136" s="21" t="s">
        <v>13</v>
      </c>
      <c r="O136" s="21" t="s">
        <v>14</v>
      </c>
      <c r="P136" s="21" t="s">
        <v>15</v>
      </c>
      <c r="Q136" s="22" t="s">
        <v>16</v>
      </c>
      <c r="R136" s="23" t="s">
        <v>17</v>
      </c>
      <c r="S136" s="24" t="s">
        <v>18</v>
      </c>
    </row>
    <row r="137" spans="1:19" ht="15.75" thickBot="1" x14ac:dyDescent="0.3">
      <c r="A137" s="396" t="s">
        <v>56</v>
      </c>
      <c r="B137" s="116"/>
      <c r="C137" s="397"/>
      <c r="D137" s="524">
        <v>22.5</v>
      </c>
      <c r="E137" s="525">
        <v>23</v>
      </c>
      <c r="F137" s="525">
        <v>95.75</v>
      </c>
      <c r="G137" s="525">
        <v>680</v>
      </c>
      <c r="H137" s="401" t="s">
        <v>55</v>
      </c>
      <c r="I137" s="83">
        <f>C130+C131+C132+C133+C134+C135</f>
        <v>670</v>
      </c>
      <c r="K137" s="25"/>
      <c r="L137" s="26"/>
      <c r="M137" s="381"/>
      <c r="N137" s="28" t="s">
        <v>19</v>
      </c>
      <c r="O137" s="28" t="s">
        <v>20</v>
      </c>
      <c r="P137" s="28" t="s">
        <v>21</v>
      </c>
      <c r="Q137" s="29" t="s">
        <v>22</v>
      </c>
      <c r="R137" s="228" t="s">
        <v>23</v>
      </c>
      <c r="S137" s="24" t="s">
        <v>24</v>
      </c>
    </row>
    <row r="138" spans="1:19" ht="15.75" thickBot="1" x14ac:dyDescent="0.3">
      <c r="C138" s="3"/>
      <c r="D138" s="3"/>
      <c r="E138" s="3"/>
      <c r="F138" s="3"/>
      <c r="G138" s="3"/>
      <c r="H138" s="3"/>
      <c r="I138" s="3"/>
      <c r="K138" s="200" t="s">
        <v>26</v>
      </c>
      <c r="L138" s="433" t="s">
        <v>295</v>
      </c>
      <c r="M138" s="33">
        <v>250</v>
      </c>
      <c r="N138" s="488">
        <v>8.3629999999999995</v>
      </c>
      <c r="O138" s="385">
        <v>8.7629999999999999</v>
      </c>
      <c r="P138" s="385">
        <v>24.22</v>
      </c>
      <c r="Q138" s="44">
        <f>P138*4+O138*9+N138*4</f>
        <v>209.19900000000001</v>
      </c>
      <c r="R138" s="408">
        <v>10</v>
      </c>
      <c r="S138" s="387" t="s">
        <v>279</v>
      </c>
    </row>
    <row r="139" spans="1:19" ht="15.75" thickBot="1" x14ac:dyDescent="0.3">
      <c r="A139" s="11" t="s">
        <v>4</v>
      </c>
      <c r="B139" s="12"/>
      <c r="C139" s="13" t="s">
        <v>5</v>
      </c>
      <c r="D139" s="14" t="s">
        <v>6</v>
      </c>
      <c r="E139" s="14"/>
      <c r="F139" s="14"/>
      <c r="G139" s="15" t="s">
        <v>7</v>
      </c>
      <c r="H139" s="16" t="s">
        <v>8</v>
      </c>
      <c r="I139" s="17" t="s">
        <v>9</v>
      </c>
      <c r="K139" s="47" t="s">
        <v>110</v>
      </c>
      <c r="L139" s="51" t="s">
        <v>156</v>
      </c>
      <c r="M139" s="41">
        <v>100</v>
      </c>
      <c r="N139" s="42">
        <v>9.1039999999999992</v>
      </c>
      <c r="O139" s="43">
        <v>10.199999999999999</v>
      </c>
      <c r="P139" s="43">
        <v>11.32</v>
      </c>
      <c r="Q139" s="44">
        <f t="shared" ref="Q139:Q140" si="34">P139*4+O139*9+N139*4</f>
        <v>173.49599999999998</v>
      </c>
      <c r="R139" s="280">
        <v>15</v>
      </c>
      <c r="S139" s="53" t="s">
        <v>157</v>
      </c>
    </row>
    <row r="140" spans="1:19" ht="15.75" x14ac:dyDescent="0.25">
      <c r="A140" s="18" t="s">
        <v>10</v>
      </c>
      <c r="B140" s="19" t="s">
        <v>11</v>
      </c>
      <c r="C140" s="20" t="s">
        <v>12</v>
      </c>
      <c r="D140" s="21" t="s">
        <v>13</v>
      </c>
      <c r="E140" s="21" t="s">
        <v>14</v>
      </c>
      <c r="F140" s="21" t="s">
        <v>15</v>
      </c>
      <c r="G140" s="22" t="s">
        <v>16</v>
      </c>
      <c r="H140" s="23" t="s">
        <v>17</v>
      </c>
      <c r="I140" s="24" t="s">
        <v>18</v>
      </c>
      <c r="K140" s="477" t="s">
        <v>32</v>
      </c>
      <c r="L140" s="433" t="s">
        <v>158</v>
      </c>
      <c r="M140" s="41">
        <v>180</v>
      </c>
      <c r="N140" s="42">
        <v>3.05</v>
      </c>
      <c r="O140" s="43">
        <v>13.83</v>
      </c>
      <c r="P140" s="235">
        <v>15.144</v>
      </c>
      <c r="Q140" s="44">
        <f t="shared" si="34"/>
        <v>197.24599999999998</v>
      </c>
      <c r="R140" s="291">
        <v>23</v>
      </c>
      <c r="S140" s="53" t="s">
        <v>159</v>
      </c>
    </row>
    <row r="141" spans="1:19" ht="15.75" thickBot="1" x14ac:dyDescent="0.3">
      <c r="A141" s="402"/>
      <c r="B141" s="26"/>
      <c r="C141" s="381"/>
      <c r="D141" s="28" t="s">
        <v>19</v>
      </c>
      <c r="E141" s="28" t="s">
        <v>20</v>
      </c>
      <c r="F141" s="28" t="s">
        <v>21</v>
      </c>
      <c r="G141" s="29" t="s">
        <v>22</v>
      </c>
      <c r="H141" s="30" t="s">
        <v>23</v>
      </c>
      <c r="I141" s="31" t="s">
        <v>24</v>
      </c>
      <c r="K141" s="47" t="s">
        <v>152</v>
      </c>
      <c r="L141" s="433" t="s">
        <v>260</v>
      </c>
      <c r="M141" s="41">
        <v>200</v>
      </c>
      <c r="N141" s="42">
        <v>0.31</v>
      </c>
      <c r="O141" s="43">
        <v>0</v>
      </c>
      <c r="P141" s="235">
        <v>30.4</v>
      </c>
      <c r="Q141" s="44">
        <f>P141*4+O141*9+N141*4</f>
        <v>122.83999999999999</v>
      </c>
      <c r="R141" s="45">
        <v>38</v>
      </c>
      <c r="S141" s="203" t="s">
        <v>51</v>
      </c>
    </row>
    <row r="142" spans="1:19" x14ac:dyDescent="0.25">
      <c r="A142" s="200" t="s">
        <v>26</v>
      </c>
      <c r="B142" s="413" t="s">
        <v>106</v>
      </c>
      <c r="C142" s="33">
        <v>70</v>
      </c>
      <c r="D142" s="42">
        <v>0.56000000000000005</v>
      </c>
      <c r="E142" s="43">
        <v>7.0000000000000007E-2</v>
      </c>
      <c r="F142" s="43">
        <v>1.19</v>
      </c>
      <c r="G142" s="44">
        <f t="shared" ref="G142:G145" si="35">F142*4+E142*9+D142*4</f>
        <v>7.63</v>
      </c>
      <c r="H142" s="436">
        <v>5</v>
      </c>
      <c r="I142" s="416" t="s">
        <v>107</v>
      </c>
      <c r="K142" s="77"/>
      <c r="L142" s="51" t="s">
        <v>33</v>
      </c>
      <c r="M142" s="41">
        <v>60</v>
      </c>
      <c r="N142" s="158">
        <v>3.06</v>
      </c>
      <c r="O142" s="43">
        <v>0.51</v>
      </c>
      <c r="P142" s="43">
        <v>30.09</v>
      </c>
      <c r="Q142" s="159">
        <f>P142*4+O142*9+N142*4</f>
        <v>137.19</v>
      </c>
      <c r="R142" s="45">
        <v>31</v>
      </c>
      <c r="S142" s="53" t="s">
        <v>34</v>
      </c>
    </row>
    <row r="143" spans="1:19" ht="15.75" thickBot="1" x14ac:dyDescent="0.3">
      <c r="A143" s="47" t="s">
        <v>110</v>
      </c>
      <c r="B143" s="169" t="s">
        <v>156</v>
      </c>
      <c r="C143" s="171" t="s">
        <v>329</v>
      </c>
      <c r="D143" s="42">
        <v>10.704000000000001</v>
      </c>
      <c r="E143" s="43">
        <v>11.2</v>
      </c>
      <c r="F143" s="43">
        <v>11.32</v>
      </c>
      <c r="G143" s="44">
        <f t="shared" si="35"/>
        <v>188.89599999999999</v>
      </c>
      <c r="H143" s="45">
        <v>15</v>
      </c>
      <c r="I143" s="53" t="s">
        <v>157</v>
      </c>
      <c r="K143" s="77"/>
      <c r="L143" s="55" t="s">
        <v>52</v>
      </c>
      <c r="M143" s="56">
        <v>50</v>
      </c>
      <c r="N143" s="542">
        <v>2.8250000000000002</v>
      </c>
      <c r="O143" s="540">
        <v>0.6</v>
      </c>
      <c r="P143" s="540">
        <v>20.925000000000001</v>
      </c>
      <c r="Q143" s="140">
        <f>P143*4+O143*9+N143*4</f>
        <v>100.4</v>
      </c>
      <c r="R143" s="48">
        <v>32</v>
      </c>
      <c r="S143" s="49" t="s">
        <v>34</v>
      </c>
    </row>
    <row r="144" spans="1:19" ht="16.5" thickBot="1" x14ac:dyDescent="0.3">
      <c r="A144" s="50" t="s">
        <v>32</v>
      </c>
      <c r="B144" s="173" t="s">
        <v>158</v>
      </c>
      <c r="C144" s="241">
        <v>185</v>
      </c>
      <c r="D144" s="384">
        <v>3.1150000000000002</v>
      </c>
      <c r="E144" s="385">
        <v>19.031600000000001</v>
      </c>
      <c r="F144" s="456">
        <v>15.592000000000001</v>
      </c>
      <c r="G144" s="386">
        <f>F144*4+E144*9+D144*4</f>
        <v>246.11240000000001</v>
      </c>
      <c r="H144" s="45">
        <v>3</v>
      </c>
      <c r="I144" s="53" t="s">
        <v>159</v>
      </c>
      <c r="K144" s="101" t="s">
        <v>53</v>
      </c>
      <c r="L144" s="102"/>
      <c r="M144" s="103"/>
      <c r="N144" s="428">
        <f>SUM(N138:N143)</f>
        <v>26.711999999999996</v>
      </c>
      <c r="O144" s="429">
        <f>SUM(O138:O143)</f>
        <v>33.902999999999999</v>
      </c>
      <c r="P144" s="429">
        <f>SUM(P138:P143)</f>
        <v>132.09900000000002</v>
      </c>
      <c r="Q144" s="514">
        <f>SUM(Q138:Q143)</f>
        <v>940.37099999999998</v>
      </c>
      <c r="R144" s="107" t="s">
        <v>40</v>
      </c>
      <c r="S144" s="76"/>
    </row>
    <row r="145" spans="1:19" ht="15.75" thickBot="1" x14ac:dyDescent="0.3">
      <c r="A145" s="54" t="s">
        <v>330</v>
      </c>
      <c r="B145" s="169" t="s">
        <v>260</v>
      </c>
      <c r="C145" s="171">
        <v>200</v>
      </c>
      <c r="D145" s="42">
        <v>0.31</v>
      </c>
      <c r="E145" s="43">
        <v>0</v>
      </c>
      <c r="F145" s="235">
        <v>30.4</v>
      </c>
      <c r="G145" s="44">
        <f t="shared" si="35"/>
        <v>122.83999999999999</v>
      </c>
      <c r="H145" s="151">
        <v>31</v>
      </c>
      <c r="I145" s="53" t="s">
        <v>96</v>
      </c>
      <c r="K145" s="517" t="s">
        <v>56</v>
      </c>
      <c r="L145" s="116"/>
      <c r="M145" s="397"/>
      <c r="N145" s="524">
        <v>31.5</v>
      </c>
      <c r="O145" s="525">
        <v>32.200000000000003</v>
      </c>
      <c r="P145" s="526">
        <v>134.05000000000001</v>
      </c>
      <c r="Q145" s="119">
        <v>952</v>
      </c>
      <c r="R145" s="401" t="s">
        <v>55</v>
      </c>
      <c r="S145" s="83">
        <f>M138+M139+M140+M141+M142+M143</f>
        <v>840</v>
      </c>
    </row>
    <row r="146" spans="1:19" x14ac:dyDescent="0.25">
      <c r="A146" s="77"/>
      <c r="B146" s="90" t="s">
        <v>33</v>
      </c>
      <c r="C146" s="41">
        <v>50</v>
      </c>
      <c r="D146" s="42">
        <v>2.5499999999999998</v>
      </c>
      <c r="E146" s="43">
        <v>0.42499999999999999</v>
      </c>
      <c r="F146" s="43">
        <v>23.074999999999999</v>
      </c>
      <c r="G146" s="44">
        <f>F146*4+E146*9+D146*4</f>
        <v>106.325</v>
      </c>
      <c r="H146" s="45">
        <v>24</v>
      </c>
      <c r="I146" s="53" t="s">
        <v>34</v>
      </c>
      <c r="M146" s="3"/>
      <c r="N146" s="3"/>
      <c r="O146" s="3"/>
      <c r="P146" s="3"/>
      <c r="Q146" s="3"/>
      <c r="R146" s="3"/>
      <c r="S146" s="3"/>
    </row>
    <row r="147" spans="1:19" ht="15.75" thickBot="1" x14ac:dyDescent="0.3">
      <c r="A147" s="77"/>
      <c r="B147" s="181" t="s">
        <v>52</v>
      </c>
      <c r="C147" s="62">
        <v>30</v>
      </c>
      <c r="D147" s="63">
        <v>1.6950000000000001</v>
      </c>
      <c r="E147" s="65">
        <v>0.36</v>
      </c>
      <c r="F147" s="65">
        <v>12.555</v>
      </c>
      <c r="G147" s="44">
        <f>F147*4+E147*9+D147*4</f>
        <v>60.24</v>
      </c>
      <c r="H147" s="48">
        <v>25</v>
      </c>
      <c r="I147" s="49" t="s">
        <v>34</v>
      </c>
      <c r="M147" s="3"/>
      <c r="N147" s="3"/>
      <c r="O147" s="3"/>
      <c r="P147" s="3"/>
      <c r="Q147" s="3"/>
      <c r="R147" s="3"/>
      <c r="S147" s="3"/>
    </row>
    <row r="148" spans="1:19" ht="15.75" thickBot="1" x14ac:dyDescent="0.3">
      <c r="A148" s="391" t="s">
        <v>39</v>
      </c>
      <c r="B148" s="102"/>
      <c r="C148" s="103"/>
      <c r="D148" s="565">
        <f>SUM(D142:D147)</f>
        <v>18.934000000000001</v>
      </c>
      <c r="E148" s="429">
        <f>SUM(E142:E147)</f>
        <v>31.086600000000001</v>
      </c>
      <c r="F148" s="429">
        <f>SUM(F142:F147)</f>
        <v>94.132000000000005</v>
      </c>
      <c r="G148" s="179">
        <f>SUM(G142:G147)</f>
        <v>732.04340000000002</v>
      </c>
      <c r="H148" s="395" t="s">
        <v>40</v>
      </c>
      <c r="I148" s="76"/>
      <c r="M148" s="3"/>
      <c r="N148" s="3"/>
      <c r="O148" s="3"/>
      <c r="P148" s="3"/>
      <c r="Q148" s="3"/>
      <c r="R148" s="359"/>
      <c r="S148" s="360"/>
    </row>
    <row r="149" spans="1:19" ht="15.75" thickBot="1" x14ac:dyDescent="0.3">
      <c r="A149" s="396" t="s">
        <v>56</v>
      </c>
      <c r="B149" s="116"/>
      <c r="C149" s="397"/>
      <c r="D149" s="524">
        <v>22.5</v>
      </c>
      <c r="E149" s="525">
        <v>23</v>
      </c>
      <c r="F149" s="525">
        <v>95.75</v>
      </c>
      <c r="G149" s="525">
        <v>680</v>
      </c>
      <c r="H149" s="401" t="s">
        <v>55</v>
      </c>
      <c r="I149" s="83">
        <f>C142+C144+C145+C146+C147+100</f>
        <v>635</v>
      </c>
      <c r="K149" s="304" t="s">
        <v>310</v>
      </c>
      <c r="L149" s="305"/>
      <c r="M149" s="306"/>
      <c r="N149" s="14" t="s">
        <v>6</v>
      </c>
      <c r="O149" s="14"/>
      <c r="P149" s="14"/>
      <c r="Q149" s="16" t="s">
        <v>7</v>
      </c>
      <c r="R149" s="307" t="s">
        <v>185</v>
      </c>
      <c r="S149" s="308"/>
    </row>
    <row r="150" spans="1:19" ht="15.75" thickBot="1" x14ac:dyDescent="0.3">
      <c r="C150" s="3"/>
      <c r="D150" s="3"/>
      <c r="E150" s="3"/>
      <c r="F150" s="3"/>
      <c r="G150" s="3"/>
      <c r="H150" s="3"/>
      <c r="I150" s="3"/>
      <c r="K150" s="309"/>
      <c r="L150" s="310" t="s">
        <v>297</v>
      </c>
      <c r="M150" s="311"/>
      <c r="N150" s="312" t="s">
        <v>13</v>
      </c>
      <c r="O150" s="21" t="s">
        <v>14</v>
      </c>
      <c r="P150" s="21" t="s">
        <v>15</v>
      </c>
      <c r="Q150" s="18" t="s">
        <v>16</v>
      </c>
      <c r="R150" s="313" t="s">
        <v>187</v>
      </c>
      <c r="S150" s="314" t="s">
        <v>188</v>
      </c>
    </row>
    <row r="151" spans="1:19" ht="15.75" thickBot="1" x14ac:dyDescent="0.3">
      <c r="A151" s="11" t="s">
        <v>4</v>
      </c>
      <c r="B151" s="12"/>
      <c r="C151" s="13" t="s">
        <v>5</v>
      </c>
      <c r="D151" s="14" t="s">
        <v>6</v>
      </c>
      <c r="E151" s="14"/>
      <c r="F151" s="14"/>
      <c r="G151" s="15" t="s">
        <v>7</v>
      </c>
      <c r="H151" s="16" t="s">
        <v>8</v>
      </c>
      <c r="I151" s="17" t="s">
        <v>9</v>
      </c>
      <c r="K151" s="315"/>
      <c r="L151" s="316"/>
      <c r="M151" s="122"/>
      <c r="N151" s="317" t="s">
        <v>19</v>
      </c>
      <c r="O151" s="28" t="s">
        <v>20</v>
      </c>
      <c r="P151" s="28" t="s">
        <v>21</v>
      </c>
      <c r="Q151" s="318" t="s">
        <v>22</v>
      </c>
      <c r="R151" s="313" t="s">
        <v>189</v>
      </c>
      <c r="S151" s="457"/>
    </row>
    <row r="152" spans="1:19" x14ac:dyDescent="0.25">
      <c r="A152" s="18" t="s">
        <v>10</v>
      </c>
      <c r="B152" s="19" t="s">
        <v>11</v>
      </c>
      <c r="C152" s="20" t="s">
        <v>12</v>
      </c>
      <c r="D152" s="21" t="s">
        <v>13</v>
      </c>
      <c r="E152" s="21" t="s">
        <v>14</v>
      </c>
      <c r="F152" s="21" t="s">
        <v>15</v>
      </c>
      <c r="G152" s="22" t="s">
        <v>16</v>
      </c>
      <c r="H152" s="23" t="s">
        <v>17</v>
      </c>
      <c r="I152" s="24" t="s">
        <v>18</v>
      </c>
      <c r="K152" s="320"/>
      <c r="L152" s="321" t="s">
        <v>190</v>
      </c>
      <c r="M152" s="543">
        <v>1</v>
      </c>
      <c r="N152" s="323">
        <v>90</v>
      </c>
      <c r="O152" s="324">
        <v>92</v>
      </c>
      <c r="P152" s="325">
        <v>383</v>
      </c>
      <c r="Q152" s="325">
        <v>2720</v>
      </c>
      <c r="R152" s="461" t="s">
        <v>13</v>
      </c>
      <c r="S152" s="462">
        <f>(N154-N156)*10</f>
        <v>1.699999999971169E-3</v>
      </c>
    </row>
    <row r="153" spans="1:19" ht="15.75" thickBot="1" x14ac:dyDescent="0.3">
      <c r="A153" s="402"/>
      <c r="B153" s="26"/>
      <c r="C153" s="381"/>
      <c r="D153" s="28" t="s">
        <v>19</v>
      </c>
      <c r="E153" s="28" t="s">
        <v>20</v>
      </c>
      <c r="F153" s="28" t="s">
        <v>21</v>
      </c>
      <c r="G153" s="29" t="s">
        <v>22</v>
      </c>
      <c r="H153" s="30" t="s">
        <v>23</v>
      </c>
      <c r="I153" s="31" t="s">
        <v>24</v>
      </c>
      <c r="K153" s="329"/>
      <c r="L153" s="301" t="s">
        <v>191</v>
      </c>
      <c r="M153" s="311"/>
      <c r="N153" s="332"/>
      <c r="O153" s="332"/>
      <c r="P153" s="332"/>
      <c r="Q153" s="332"/>
      <c r="R153" s="463" t="s">
        <v>14</v>
      </c>
      <c r="S153" s="335">
        <f>(O154-O156)*10</f>
        <v>4.000000000061732E-3</v>
      </c>
    </row>
    <row r="154" spans="1:19" x14ac:dyDescent="0.25">
      <c r="A154" s="200" t="s">
        <v>26</v>
      </c>
      <c r="B154" s="183" t="s">
        <v>219</v>
      </c>
      <c r="C154" s="41" t="s">
        <v>178</v>
      </c>
      <c r="D154" s="405">
        <v>10.946</v>
      </c>
      <c r="E154" s="406">
        <v>9.5310000000000006</v>
      </c>
      <c r="F154" s="407">
        <v>9.2850000000000001</v>
      </c>
      <c r="G154" s="59">
        <f t="shared" ref="G154" si="36">F154*4+E154*9+D154*4</f>
        <v>166.703</v>
      </c>
      <c r="H154" s="157">
        <v>18</v>
      </c>
      <c r="I154" s="513" t="s">
        <v>221</v>
      </c>
      <c r="K154" s="336" t="s">
        <v>311</v>
      </c>
      <c r="L154" s="464" t="s">
        <v>312</v>
      </c>
      <c r="M154" s="544">
        <v>0.35</v>
      </c>
      <c r="N154" s="337">
        <v>31.5</v>
      </c>
      <c r="O154" s="337">
        <v>32.200000000000003</v>
      </c>
      <c r="P154" s="466">
        <v>134.05000000000001</v>
      </c>
      <c r="Q154" s="545">
        <v>952</v>
      </c>
      <c r="R154" s="463" t="s">
        <v>15</v>
      </c>
      <c r="S154" s="520">
        <f>(P154-P156)*10</f>
        <v>1.0000000000331966E-3</v>
      </c>
    </row>
    <row r="155" spans="1:19" x14ac:dyDescent="0.25">
      <c r="A155" s="47" t="s">
        <v>110</v>
      </c>
      <c r="B155" s="443" t="s">
        <v>331</v>
      </c>
      <c r="C155" s="258" t="s">
        <v>128</v>
      </c>
      <c r="D155" s="125">
        <v>2.484</v>
      </c>
      <c r="E155" s="126">
        <v>6.4367999999999999</v>
      </c>
      <c r="F155" s="561">
        <v>14.4</v>
      </c>
      <c r="G155" s="140">
        <f>F155*4+E155*9+D155*4</f>
        <v>125.46719999999999</v>
      </c>
      <c r="H155" s="48">
        <v>8</v>
      </c>
      <c r="I155" s="49" t="s">
        <v>332</v>
      </c>
      <c r="K155" s="309"/>
      <c r="L155" s="546"/>
      <c r="M155" s="547"/>
      <c r="N155" s="45"/>
      <c r="O155" s="469"/>
      <c r="P155" s="469"/>
      <c r="Q155" s="521"/>
      <c r="R155" s="470" t="s">
        <v>194</v>
      </c>
      <c r="S155" s="471"/>
    </row>
    <row r="156" spans="1:19" ht="16.5" thickBot="1" x14ac:dyDescent="0.3">
      <c r="A156" s="50" t="s">
        <v>32</v>
      </c>
      <c r="B156" s="88" t="s">
        <v>333</v>
      </c>
      <c r="C156" s="533"/>
      <c r="D156" s="566">
        <v>1.73</v>
      </c>
      <c r="E156" s="567">
        <v>1.47</v>
      </c>
      <c r="F156" s="568">
        <v>3.29</v>
      </c>
      <c r="G156" s="150">
        <v>33.33</v>
      </c>
      <c r="H156" s="536"/>
      <c r="I156" s="536"/>
      <c r="K156" s="349"/>
      <c r="L156" s="350" t="s">
        <v>263</v>
      </c>
      <c r="M156" s="548"/>
      <c r="N156" s="522">
        <f>(N18+N31+N44+N57+N73+N88+N101+N114+N132+N144)/10</f>
        <v>31.499830000000003</v>
      </c>
      <c r="O156" s="473">
        <f>(O18+O31+O44+O57+O73+O88+O101+O114+O132+O144)/10</f>
        <v>32.199599999999997</v>
      </c>
      <c r="P156" s="473">
        <f>(P18+P31+P44+P57+P73+P88+P101+P114+P132+P144)/10</f>
        <v>134.04990000000001</v>
      </c>
      <c r="Q156" s="354">
        <f>(Q18+Q31+Q44+Q57+Q73+Q88+Q101+Q114+Q132+Q144)/10</f>
        <v>952.02272000000016</v>
      </c>
      <c r="R156" s="474" t="s">
        <v>22</v>
      </c>
      <c r="S156" s="475">
        <f>(Q154-Q156)*10</f>
        <v>-0.22720000000163054</v>
      </c>
    </row>
    <row r="157" spans="1:19" x14ac:dyDescent="0.25">
      <c r="A157" s="54" t="s">
        <v>334</v>
      </c>
      <c r="B157" s="51" t="s">
        <v>30</v>
      </c>
      <c r="C157" s="41">
        <v>200</v>
      </c>
      <c r="D157" s="149">
        <v>4.5</v>
      </c>
      <c r="E157" s="96">
        <v>3.7</v>
      </c>
      <c r="F157" s="96">
        <v>19.600000000000001</v>
      </c>
      <c r="G157" s="150">
        <f>F157*4+E157*9+D157*4</f>
        <v>129.70000000000002</v>
      </c>
      <c r="H157" s="151">
        <v>30</v>
      </c>
      <c r="I157" s="53" t="s">
        <v>31</v>
      </c>
      <c r="N157" s="3"/>
      <c r="O157" s="3"/>
      <c r="P157" s="3"/>
      <c r="Q157" s="3"/>
      <c r="R157" s="357"/>
      <c r="S157" s="357"/>
    </row>
    <row r="158" spans="1:19" x14ac:dyDescent="0.25">
      <c r="A158" s="77"/>
      <c r="B158" s="90" t="s">
        <v>33</v>
      </c>
      <c r="C158" s="41">
        <v>50</v>
      </c>
      <c r="D158" s="42">
        <v>2.5499999999999998</v>
      </c>
      <c r="E158" s="43">
        <v>0.42499999999999999</v>
      </c>
      <c r="F158" s="43">
        <v>23.074999999999999</v>
      </c>
      <c r="G158" s="44">
        <f>F158*4+E158*9+D158*4</f>
        <v>106.325</v>
      </c>
      <c r="H158" s="45">
        <v>24</v>
      </c>
      <c r="I158" s="53" t="s">
        <v>34</v>
      </c>
    </row>
    <row r="159" spans="1:19" ht="15.75" thickBot="1" x14ac:dyDescent="0.3">
      <c r="A159" s="77"/>
      <c r="B159" s="181" t="s">
        <v>52</v>
      </c>
      <c r="C159" s="62">
        <v>30</v>
      </c>
      <c r="D159" s="63">
        <v>1.6950000000000001</v>
      </c>
      <c r="E159" s="65">
        <v>0.36</v>
      </c>
      <c r="F159" s="65">
        <v>12.555</v>
      </c>
      <c r="G159" s="44">
        <f>F159*4+E159*9+D159*4</f>
        <v>60.24</v>
      </c>
      <c r="H159" s="48">
        <v>25</v>
      </c>
      <c r="I159" s="49" t="s">
        <v>34</v>
      </c>
    </row>
    <row r="160" spans="1:19" ht="15.75" thickBot="1" x14ac:dyDescent="0.3">
      <c r="A160" s="391" t="s">
        <v>39</v>
      </c>
      <c r="B160" s="102"/>
      <c r="C160" s="103"/>
      <c r="D160" s="569">
        <f>SUM(D154:D159)</f>
        <v>23.905000000000001</v>
      </c>
      <c r="E160" s="570">
        <f>SUM(E154:E159)</f>
        <v>21.922799999999999</v>
      </c>
      <c r="F160" s="571">
        <f>SUM(F154:F159)</f>
        <v>82.205000000000013</v>
      </c>
      <c r="G160" s="570">
        <f>SUM(G154:G159)</f>
        <v>621.76520000000005</v>
      </c>
      <c r="H160" s="395" t="s">
        <v>40</v>
      </c>
      <c r="I160" s="76"/>
    </row>
    <row r="161" spans="1:9" ht="15.75" thickBot="1" x14ac:dyDescent="0.3">
      <c r="A161" s="396" t="s">
        <v>56</v>
      </c>
      <c r="B161" s="116"/>
      <c r="C161" s="397"/>
      <c r="D161" s="524">
        <v>22.5</v>
      </c>
      <c r="E161" s="525">
        <v>23</v>
      </c>
      <c r="F161" s="525">
        <v>95.75</v>
      </c>
      <c r="G161" s="525">
        <v>680</v>
      </c>
      <c r="H161" s="401" t="s">
        <v>55</v>
      </c>
      <c r="I161" s="83"/>
    </row>
    <row r="162" spans="1:9" x14ac:dyDescent="0.25">
      <c r="C162" s="3"/>
      <c r="D162" s="3"/>
      <c r="E162" s="3"/>
      <c r="F162" s="3"/>
      <c r="G162" s="3"/>
      <c r="H162" s="3"/>
      <c r="I162" s="3"/>
    </row>
    <row r="163" spans="1:9" x14ac:dyDescent="0.25">
      <c r="C163" s="3"/>
      <c r="D163" s="3"/>
      <c r="E163" s="3"/>
      <c r="F163" s="3"/>
      <c r="G163" s="3"/>
      <c r="H163" s="3"/>
      <c r="I163" s="3"/>
    </row>
    <row r="164" spans="1:9" x14ac:dyDescent="0.25">
      <c r="C164" s="3"/>
      <c r="D164" s="3"/>
      <c r="E164" s="3"/>
      <c r="F164" s="3"/>
      <c r="G164" s="3"/>
      <c r="H164" s="3"/>
      <c r="I164" s="3"/>
    </row>
    <row r="165" spans="1:9" ht="15.75" thickBot="1" x14ac:dyDescent="0.3">
      <c r="C165" s="3"/>
      <c r="D165" s="3"/>
      <c r="E165" s="3"/>
      <c r="F165" s="3"/>
      <c r="G165" s="3"/>
      <c r="H165" s="3"/>
      <c r="I165" s="3"/>
    </row>
    <row r="166" spans="1:9" ht="15.75" thickBot="1" x14ac:dyDescent="0.3">
      <c r="A166" s="304" t="s">
        <v>310</v>
      </c>
      <c r="B166" s="305"/>
      <c r="C166" s="306"/>
      <c r="D166" s="14" t="s">
        <v>6</v>
      </c>
      <c r="E166" s="14"/>
      <c r="F166" s="14"/>
      <c r="G166" s="15" t="s">
        <v>7</v>
      </c>
      <c r="H166" s="307" t="s">
        <v>185</v>
      </c>
      <c r="I166" s="308"/>
    </row>
    <row r="167" spans="1:9" x14ac:dyDescent="0.25">
      <c r="A167" s="309"/>
      <c r="B167" s="310" t="s">
        <v>261</v>
      </c>
      <c r="C167" s="311"/>
      <c r="D167" s="312" t="s">
        <v>13</v>
      </c>
      <c r="E167" s="21" t="s">
        <v>14</v>
      </c>
      <c r="F167" s="21" t="s">
        <v>15</v>
      </c>
      <c r="G167" s="22" t="s">
        <v>16</v>
      </c>
      <c r="H167" s="313" t="s">
        <v>187</v>
      </c>
      <c r="I167" s="314" t="s">
        <v>188</v>
      </c>
    </row>
    <row r="168" spans="1:9" ht="15.75" thickBot="1" x14ac:dyDescent="0.3">
      <c r="A168" s="315"/>
      <c r="B168" s="316"/>
      <c r="C168" s="122"/>
      <c r="D168" s="317" t="s">
        <v>19</v>
      </c>
      <c r="E168" s="28" t="s">
        <v>20</v>
      </c>
      <c r="F168" s="28" t="s">
        <v>21</v>
      </c>
      <c r="G168" s="29" t="s">
        <v>22</v>
      </c>
      <c r="H168" s="313" t="s">
        <v>189</v>
      </c>
      <c r="I168" s="457"/>
    </row>
    <row r="169" spans="1:9" x14ac:dyDescent="0.25">
      <c r="A169" s="320"/>
      <c r="B169" s="321" t="s">
        <v>190</v>
      </c>
      <c r="C169" s="322">
        <v>1</v>
      </c>
      <c r="D169" s="323">
        <v>90</v>
      </c>
      <c r="E169" s="324">
        <v>92</v>
      </c>
      <c r="F169" s="325">
        <v>383</v>
      </c>
      <c r="G169" s="326">
        <v>2720</v>
      </c>
      <c r="H169" s="461" t="s">
        <v>13</v>
      </c>
      <c r="I169" s="462">
        <f>(D171-D173)*12</f>
        <v>7.0999999999799002E-3</v>
      </c>
    </row>
    <row r="170" spans="1:9" x14ac:dyDescent="0.25">
      <c r="A170" s="329"/>
      <c r="B170" s="301" t="s">
        <v>191</v>
      </c>
      <c r="C170" s="572"/>
      <c r="D170" s="331"/>
      <c r="E170" s="332"/>
      <c r="F170" s="332"/>
      <c r="G170" s="333"/>
      <c r="H170" s="463" t="s">
        <v>14</v>
      </c>
      <c r="I170" s="335">
        <f>(E171-E173)*12</f>
        <v>2.399999999951774E-3</v>
      </c>
    </row>
    <row r="171" spans="1:9" x14ac:dyDescent="0.25">
      <c r="A171" s="336" t="s">
        <v>311</v>
      </c>
      <c r="B171" s="464" t="s">
        <v>262</v>
      </c>
      <c r="C171" s="465">
        <v>0.25</v>
      </c>
      <c r="D171" s="573">
        <v>22.5</v>
      </c>
      <c r="E171" s="574">
        <v>23</v>
      </c>
      <c r="F171" s="574">
        <v>95.75</v>
      </c>
      <c r="G171" s="575">
        <v>680</v>
      </c>
      <c r="H171" s="463" t="s">
        <v>15</v>
      </c>
      <c r="I171" s="335">
        <f>(F171-F173)*12</f>
        <v>4.1000000000508408E-3</v>
      </c>
    </row>
    <row r="172" spans="1:9" x14ac:dyDescent="0.25">
      <c r="A172" s="309"/>
      <c r="B172" s="343"/>
      <c r="C172" s="344"/>
      <c r="D172" s="99"/>
      <c r="E172" s="345"/>
      <c r="F172" s="345"/>
      <c r="G172" s="346"/>
      <c r="H172" s="470" t="s">
        <v>194</v>
      </c>
      <c r="I172" s="471"/>
    </row>
    <row r="173" spans="1:9" ht="15.75" thickBot="1" x14ac:dyDescent="0.3">
      <c r="A173" s="349"/>
      <c r="B173" s="350" t="s">
        <v>335</v>
      </c>
      <c r="C173" s="351"/>
      <c r="D173" s="576">
        <f>(D17+D30+D41+D54+D69+D81+D95+D107+D124+D136+D148+D160)/12</f>
        <v>22.499408333333335</v>
      </c>
      <c r="E173" s="577">
        <f>(E17+E30+E41+E54+E69+E81+E95+E107+E124+E136+E148+E160)/12</f>
        <v>22.999800000000004</v>
      </c>
      <c r="F173" s="353">
        <f>(F17+F30+F41+F54+F69+F81+F95+F107+F124+F136+F148+F160)/12</f>
        <v>95.749658333333329</v>
      </c>
      <c r="G173" s="354">
        <f>(G17+G30+G41+G54+G69+G81+G95+G107+G124+G136+G148+G160)/12</f>
        <v>679.99613333333343</v>
      </c>
      <c r="H173" s="474" t="s">
        <v>22</v>
      </c>
      <c r="I173" s="475">
        <f>(G171-G173)*12</f>
        <v>4.6399999998811836E-2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workbookViewId="0">
      <selection activeCell="K21" sqref="K21"/>
    </sheetView>
  </sheetViews>
  <sheetFormatPr defaultRowHeight="15" x14ac:dyDescent="0.25"/>
  <sheetData>
    <row r="1" spans="1:19" x14ac:dyDescent="0.25">
      <c r="A1" t="s">
        <v>336</v>
      </c>
    </row>
    <row r="5" spans="1:19" ht="15.75" x14ac:dyDescent="0.25">
      <c r="A5" s="9" t="s">
        <v>215</v>
      </c>
      <c r="B5" s="4"/>
      <c r="D5" s="3"/>
      <c r="E5" s="372" t="s">
        <v>2</v>
      </c>
      <c r="F5" s="4" t="s">
        <v>341</v>
      </c>
      <c r="G5" s="4"/>
      <c r="H5" s="4"/>
      <c r="K5" s="9" t="s">
        <v>215</v>
      </c>
      <c r="L5" s="4"/>
      <c r="N5" s="3"/>
      <c r="O5" s="372" t="s">
        <v>2</v>
      </c>
      <c r="P5" s="4" t="s">
        <v>343</v>
      </c>
      <c r="Q5" s="4"/>
      <c r="R5" s="4"/>
    </row>
    <row r="6" spans="1:19" ht="15.75" thickBot="1" x14ac:dyDescent="0.3">
      <c r="B6" s="361" t="s">
        <v>342</v>
      </c>
      <c r="L6" t="s">
        <v>344</v>
      </c>
    </row>
    <row r="7" spans="1:19" ht="15.75" thickBot="1" x14ac:dyDescent="0.3">
      <c r="A7" s="11" t="s">
        <v>4</v>
      </c>
      <c r="B7" s="12"/>
      <c r="C7" s="13" t="s">
        <v>5</v>
      </c>
      <c r="D7" s="14" t="s">
        <v>6</v>
      </c>
      <c r="E7" s="14"/>
      <c r="F7" s="14"/>
      <c r="G7" s="15" t="s">
        <v>7</v>
      </c>
      <c r="H7" s="16" t="s">
        <v>8</v>
      </c>
      <c r="I7" s="17" t="s">
        <v>9</v>
      </c>
      <c r="K7" s="11" t="s">
        <v>4</v>
      </c>
      <c r="L7" s="12"/>
      <c r="M7" s="13" t="s">
        <v>5</v>
      </c>
      <c r="N7" s="14" t="s">
        <v>6</v>
      </c>
      <c r="O7" s="14"/>
      <c r="P7" s="14"/>
      <c r="Q7" s="15" t="s">
        <v>7</v>
      </c>
      <c r="R7" s="16" t="s">
        <v>8</v>
      </c>
      <c r="S7" s="17" t="s">
        <v>9</v>
      </c>
    </row>
    <row r="8" spans="1:19" x14ac:dyDescent="0.25">
      <c r="A8" s="18" t="s">
        <v>10</v>
      </c>
      <c r="B8" s="19" t="s">
        <v>11</v>
      </c>
      <c r="C8" s="20" t="s">
        <v>12</v>
      </c>
      <c r="D8" s="21" t="s">
        <v>13</v>
      </c>
      <c r="E8" s="21" t="s">
        <v>14</v>
      </c>
      <c r="F8" s="21" t="s">
        <v>15</v>
      </c>
      <c r="G8" s="22" t="s">
        <v>16</v>
      </c>
      <c r="H8" s="23" t="s">
        <v>17</v>
      </c>
      <c r="I8" s="24" t="s">
        <v>18</v>
      </c>
      <c r="K8" s="18" t="s">
        <v>10</v>
      </c>
      <c r="L8" s="19" t="s">
        <v>11</v>
      </c>
      <c r="M8" s="20" t="s">
        <v>12</v>
      </c>
      <c r="N8" s="21" t="s">
        <v>13</v>
      </c>
      <c r="O8" s="21" t="s">
        <v>14</v>
      </c>
      <c r="P8" s="21" t="s">
        <v>15</v>
      </c>
      <c r="Q8" s="22" t="s">
        <v>16</v>
      </c>
      <c r="R8" s="23" t="s">
        <v>17</v>
      </c>
      <c r="S8" s="24" t="s">
        <v>18</v>
      </c>
    </row>
    <row r="9" spans="1:19" ht="15.75" thickBot="1" x14ac:dyDescent="0.3">
      <c r="A9" s="402"/>
      <c r="B9" s="26"/>
      <c r="C9" s="381"/>
      <c r="D9" s="28" t="s">
        <v>19</v>
      </c>
      <c r="E9" s="28" t="s">
        <v>20</v>
      </c>
      <c r="F9" s="28" t="s">
        <v>21</v>
      </c>
      <c r="G9" s="29" t="s">
        <v>22</v>
      </c>
      <c r="H9" s="30" t="s">
        <v>23</v>
      </c>
      <c r="I9" s="31" t="s">
        <v>24</v>
      </c>
      <c r="K9" s="25"/>
      <c r="L9" s="26"/>
      <c r="M9" s="381"/>
      <c r="N9" s="28" t="s">
        <v>19</v>
      </c>
      <c r="O9" s="28" t="s">
        <v>20</v>
      </c>
      <c r="P9" s="28" t="s">
        <v>21</v>
      </c>
      <c r="Q9" s="29" t="s">
        <v>22</v>
      </c>
      <c r="R9" s="228" t="s">
        <v>23</v>
      </c>
      <c r="S9" s="24" t="s">
        <v>24</v>
      </c>
    </row>
    <row r="10" spans="1:19" x14ac:dyDescent="0.25">
      <c r="A10" s="200" t="s">
        <v>26</v>
      </c>
      <c r="B10" s="433" t="s">
        <v>245</v>
      </c>
      <c r="C10" s="33" t="s">
        <v>246</v>
      </c>
      <c r="D10" s="384">
        <v>5.0869999999999997</v>
      </c>
      <c r="E10" s="385">
        <v>9.9879999999999995</v>
      </c>
      <c r="F10" s="385">
        <v>9.2680000000000007</v>
      </c>
      <c r="G10" s="386">
        <f t="shared" ref="G10:G16" si="0">F10*4+E10*9+D10*4</f>
        <v>147.31200000000001</v>
      </c>
      <c r="H10" s="37">
        <v>9</v>
      </c>
      <c r="I10" s="447" t="s">
        <v>65</v>
      </c>
      <c r="K10" s="200" t="s">
        <v>26</v>
      </c>
      <c r="L10" s="51" t="s">
        <v>290</v>
      </c>
      <c r="M10" s="431">
        <v>200</v>
      </c>
      <c r="N10" s="269">
        <v>4.2060000000000004</v>
      </c>
      <c r="O10" s="270">
        <v>4.97</v>
      </c>
      <c r="P10" s="269">
        <v>8.4120000000000008</v>
      </c>
      <c r="Q10" s="44">
        <f>P10*4+O10*9+N10*4</f>
        <v>95.201999999999998</v>
      </c>
      <c r="R10" s="501">
        <v>8</v>
      </c>
      <c r="S10" s="387" t="s">
        <v>134</v>
      </c>
    </row>
    <row r="11" spans="1:19" x14ac:dyDescent="0.25">
      <c r="A11" s="47" t="s">
        <v>110</v>
      </c>
      <c r="B11" s="448" t="s">
        <v>247</v>
      </c>
      <c r="C11" s="56" t="s">
        <v>248</v>
      </c>
      <c r="D11" s="125">
        <v>3.42</v>
      </c>
      <c r="E11" s="126">
        <v>4.5949999999999998</v>
      </c>
      <c r="F11" s="127">
        <v>19.62</v>
      </c>
      <c r="G11" s="140">
        <f t="shared" si="0"/>
        <v>133.51500000000001</v>
      </c>
      <c r="H11" s="435">
        <v>6</v>
      </c>
      <c r="I11" s="49" t="s">
        <v>136</v>
      </c>
      <c r="K11" s="47" t="s">
        <v>110</v>
      </c>
      <c r="L11" s="51" t="s">
        <v>245</v>
      </c>
      <c r="M11" s="41" t="s">
        <v>291</v>
      </c>
      <c r="N11" s="42">
        <v>10.43</v>
      </c>
      <c r="O11" s="43">
        <v>11.909000000000001</v>
      </c>
      <c r="P11" s="43">
        <v>15.52</v>
      </c>
      <c r="Q11" s="44">
        <f t="shared" ref="Q11:Q12" si="1">P11*4+O11*9+N11*4</f>
        <v>210.98100000000002</v>
      </c>
      <c r="R11" s="502">
        <v>18</v>
      </c>
      <c r="S11" s="53" t="s">
        <v>65</v>
      </c>
    </row>
    <row r="12" spans="1:19" ht="15.75" x14ac:dyDescent="0.25">
      <c r="A12" s="50" t="s">
        <v>32</v>
      </c>
      <c r="B12" s="88" t="s">
        <v>137</v>
      </c>
      <c r="C12" s="292"/>
      <c r="D12" s="95">
        <v>1.659</v>
      </c>
      <c r="E12" s="96">
        <v>7.1999999999999995E-2</v>
      </c>
      <c r="F12" s="97">
        <v>16.010000000000002</v>
      </c>
      <c r="G12" s="150">
        <f>F12*4+E12*9+D12*4</f>
        <v>71.323999999999998</v>
      </c>
      <c r="H12" s="418"/>
      <c r="I12" s="100" t="s">
        <v>69</v>
      </c>
      <c r="K12" s="477" t="s">
        <v>32</v>
      </c>
      <c r="L12" s="448" t="s">
        <v>247</v>
      </c>
      <c r="M12" s="56" t="s">
        <v>248</v>
      </c>
      <c r="N12" s="125">
        <v>3.42</v>
      </c>
      <c r="O12" s="126">
        <v>4.9050000000000002</v>
      </c>
      <c r="P12" s="127">
        <v>23.93</v>
      </c>
      <c r="Q12" s="140">
        <f t="shared" si="1"/>
        <v>153.54500000000002</v>
      </c>
      <c r="R12" s="435">
        <v>24</v>
      </c>
      <c r="S12" s="49" t="s">
        <v>136</v>
      </c>
    </row>
    <row r="13" spans="1:19" x14ac:dyDescent="0.25">
      <c r="A13" s="54" t="s">
        <v>249</v>
      </c>
      <c r="B13" s="186" t="s">
        <v>250</v>
      </c>
      <c r="C13" s="390">
        <v>200</v>
      </c>
      <c r="D13" s="42">
        <v>0.66200000000000003</v>
      </c>
      <c r="E13" s="43">
        <v>0.09</v>
      </c>
      <c r="F13" s="43">
        <v>31.05</v>
      </c>
      <c r="G13" s="44">
        <f t="shared" ref="G13:G14" si="2">F13*4+E13*9+D13*4</f>
        <v>127.658</v>
      </c>
      <c r="H13" s="418">
        <v>26</v>
      </c>
      <c r="I13" s="53" t="s">
        <v>71</v>
      </c>
      <c r="K13" s="47" t="s">
        <v>132</v>
      </c>
      <c r="L13" s="88" t="s">
        <v>137</v>
      </c>
      <c r="M13" s="292"/>
      <c r="N13" s="95">
        <v>1.659</v>
      </c>
      <c r="O13" s="96">
        <v>0.97</v>
      </c>
      <c r="P13" s="97">
        <v>16.010000000000002</v>
      </c>
      <c r="Q13" s="150">
        <f>P13*4+O13*9+N13*4</f>
        <v>79.406000000000006</v>
      </c>
      <c r="R13" s="418"/>
      <c r="S13" s="100" t="s">
        <v>69</v>
      </c>
    </row>
    <row r="14" spans="1:19" x14ac:dyDescent="0.25">
      <c r="A14" s="77"/>
      <c r="B14" s="90" t="s">
        <v>33</v>
      </c>
      <c r="C14" s="390">
        <v>30</v>
      </c>
      <c r="D14" s="384">
        <v>1.575</v>
      </c>
      <c r="E14" s="385">
        <v>0.21299999999999999</v>
      </c>
      <c r="F14" s="385">
        <v>12.538</v>
      </c>
      <c r="G14" s="386">
        <f t="shared" si="2"/>
        <v>58.369</v>
      </c>
      <c r="H14" s="45">
        <v>22</v>
      </c>
      <c r="I14" s="53" t="s">
        <v>34</v>
      </c>
      <c r="K14" s="498"/>
      <c r="L14" s="51" t="s">
        <v>50</v>
      </c>
      <c r="M14" s="41">
        <v>200</v>
      </c>
      <c r="N14" s="42">
        <v>1</v>
      </c>
      <c r="O14" s="43">
        <v>0</v>
      </c>
      <c r="P14" s="43">
        <v>20.92</v>
      </c>
      <c r="Q14" s="159">
        <f>P14*4+O14*9+N14*4</f>
        <v>87.68</v>
      </c>
      <c r="R14" s="503">
        <v>34</v>
      </c>
      <c r="S14" s="53" t="s">
        <v>51</v>
      </c>
    </row>
    <row r="15" spans="1:19" x14ac:dyDescent="0.25">
      <c r="A15" s="77"/>
      <c r="B15" s="181" t="s">
        <v>52</v>
      </c>
      <c r="C15" s="41">
        <v>20</v>
      </c>
      <c r="D15" s="384">
        <v>1.1299999999999999</v>
      </c>
      <c r="E15" s="385">
        <v>0.24</v>
      </c>
      <c r="F15" s="385">
        <v>8.3699999999999992</v>
      </c>
      <c r="G15" s="386">
        <f t="shared" si="0"/>
        <v>40.159999999999997</v>
      </c>
      <c r="H15" s="48">
        <v>23</v>
      </c>
      <c r="I15" s="49" t="s">
        <v>34</v>
      </c>
      <c r="K15" s="77"/>
      <c r="L15" s="51" t="s">
        <v>33</v>
      </c>
      <c r="M15" s="41">
        <v>50</v>
      </c>
      <c r="N15" s="42">
        <v>2.5499999999999998</v>
      </c>
      <c r="O15" s="43">
        <v>0.42499999999999999</v>
      </c>
      <c r="P15" s="43">
        <v>25.074999999999999</v>
      </c>
      <c r="Q15" s="159">
        <f t="shared" ref="Q15" si="3">P15*4+O15*9+N15*4</f>
        <v>114.325</v>
      </c>
      <c r="R15" s="52">
        <v>31</v>
      </c>
      <c r="S15" s="53" t="s">
        <v>34</v>
      </c>
    </row>
    <row r="16" spans="1:19" ht="15.75" thickBot="1" x14ac:dyDescent="0.3">
      <c r="A16" s="161"/>
      <c r="B16" s="132" t="s">
        <v>251</v>
      </c>
      <c r="C16" s="62">
        <v>140</v>
      </c>
      <c r="D16" s="57">
        <v>0.56000000000000005</v>
      </c>
      <c r="E16" s="427">
        <v>0.56000000000000005</v>
      </c>
      <c r="F16" s="58">
        <v>13.72</v>
      </c>
      <c r="G16" s="140">
        <f t="shared" si="0"/>
        <v>62.160000000000004</v>
      </c>
      <c r="H16" s="164">
        <v>24</v>
      </c>
      <c r="I16" s="68" t="s">
        <v>237</v>
      </c>
      <c r="K16" s="77"/>
      <c r="L16" s="51" t="s">
        <v>52</v>
      </c>
      <c r="M16" s="41">
        <v>30</v>
      </c>
      <c r="N16" s="42">
        <v>1.6950000000000001</v>
      </c>
      <c r="O16" s="43">
        <v>0.36</v>
      </c>
      <c r="P16" s="43">
        <v>12.55</v>
      </c>
      <c r="Q16" s="159">
        <f>P16*4+O16*9+N16*4</f>
        <v>60.220000000000006</v>
      </c>
      <c r="R16" s="435">
        <v>32</v>
      </c>
      <c r="S16" s="53" t="s">
        <v>34</v>
      </c>
    </row>
    <row r="17" spans="1:19" ht="15.75" thickBot="1" x14ac:dyDescent="0.3">
      <c r="A17" s="391" t="s">
        <v>39</v>
      </c>
      <c r="B17" s="102"/>
      <c r="C17" s="103"/>
      <c r="D17" s="428">
        <f>SUM(D10:D16)</f>
        <v>14.093000000000002</v>
      </c>
      <c r="E17" s="179">
        <f>SUM(E10:E16)</f>
        <v>15.757999999999997</v>
      </c>
      <c r="F17" s="429">
        <f>SUM(F10:F16)</f>
        <v>110.57600000000001</v>
      </c>
      <c r="G17" s="179">
        <f>SUM(G10:G16)</f>
        <v>640.49799999999993</v>
      </c>
      <c r="H17" s="395" t="s">
        <v>40</v>
      </c>
      <c r="I17" s="76"/>
      <c r="K17" s="161"/>
      <c r="L17" s="236"/>
      <c r="M17" s="62"/>
      <c r="N17" s="57"/>
      <c r="O17" s="427"/>
      <c r="P17" s="58"/>
      <c r="Q17" s="59"/>
      <c r="R17" s="504"/>
      <c r="S17" s="165"/>
    </row>
    <row r="18" spans="1:19" ht="15.75" thickBot="1" x14ac:dyDescent="0.3">
      <c r="A18" s="396" t="s">
        <v>56</v>
      </c>
      <c r="B18" s="116"/>
      <c r="C18" s="397"/>
      <c r="D18" s="398">
        <v>19.25</v>
      </c>
      <c r="E18" s="399">
        <v>19.75</v>
      </c>
      <c r="F18" s="399">
        <v>83.75</v>
      </c>
      <c r="G18" s="400">
        <v>587.5</v>
      </c>
      <c r="H18" s="401" t="s">
        <v>55</v>
      </c>
      <c r="I18" s="83">
        <f>C13+C14+C15+C16+60+30+80+70</f>
        <v>630</v>
      </c>
      <c r="K18" s="391" t="s">
        <v>53</v>
      </c>
      <c r="L18" s="102"/>
      <c r="M18" s="109"/>
      <c r="N18" s="428">
        <f>SUM(N10:N17)</f>
        <v>24.959999999999997</v>
      </c>
      <c r="O18" s="179">
        <f>SUM(O10:O17)</f>
        <v>23.539000000000001</v>
      </c>
      <c r="P18" s="429">
        <f>SUM(P10:P17)</f>
        <v>122.417</v>
      </c>
      <c r="Q18" s="505">
        <f>SUM(Q10:Q17)</f>
        <v>801.35900000000015</v>
      </c>
      <c r="R18" s="107" t="s">
        <v>40</v>
      </c>
      <c r="S18" s="76"/>
    </row>
    <row r="19" spans="1:19" ht="16.5" thickBot="1" x14ac:dyDescent="0.3">
      <c r="A19" s="9" t="s">
        <v>314</v>
      </c>
      <c r="B19" s="4"/>
      <c r="D19" s="3"/>
      <c r="E19" s="372" t="s">
        <v>2</v>
      </c>
      <c r="F19" s="4" t="s">
        <v>345</v>
      </c>
      <c r="G19" s="4"/>
      <c r="H19" s="4"/>
      <c r="K19" s="396" t="s">
        <v>56</v>
      </c>
      <c r="L19" s="116"/>
      <c r="M19" s="117"/>
      <c r="N19" s="398">
        <v>26.95</v>
      </c>
      <c r="O19" s="399">
        <v>27.65</v>
      </c>
      <c r="P19" s="399">
        <v>117.25</v>
      </c>
      <c r="Q19" s="400">
        <v>822.5</v>
      </c>
      <c r="R19" s="401" t="s">
        <v>55</v>
      </c>
      <c r="S19" s="83">
        <f>M10+M14+M15+M16+M17+80+20+80+70</f>
        <v>730</v>
      </c>
    </row>
    <row r="20" spans="1:19" ht="21.75" thickBot="1" x14ac:dyDescent="0.4">
      <c r="B20" t="s">
        <v>342</v>
      </c>
      <c r="C20" s="373"/>
      <c r="D20" s="3"/>
      <c r="F20" s="3"/>
      <c r="G20" s="2"/>
      <c r="H20" s="4"/>
    </row>
    <row r="21" spans="1:19" ht="15.75" thickBot="1" x14ac:dyDescent="0.3">
      <c r="A21" s="11" t="s">
        <v>4</v>
      </c>
      <c r="B21" s="12"/>
      <c r="C21" s="13" t="s">
        <v>5</v>
      </c>
      <c r="D21" s="14" t="s">
        <v>6</v>
      </c>
      <c r="E21" s="14"/>
      <c r="F21" s="14"/>
      <c r="G21" s="15" t="s">
        <v>7</v>
      </c>
      <c r="H21" s="16" t="s">
        <v>8</v>
      </c>
      <c r="I21" s="17" t="s">
        <v>9</v>
      </c>
      <c r="K21" s="579"/>
      <c r="L21" s="580"/>
      <c r="M21" s="581"/>
      <c r="N21" s="582"/>
      <c r="O21" s="582"/>
      <c r="P21" s="582"/>
      <c r="Q21" s="581"/>
      <c r="R21" s="581"/>
      <c r="S21" s="583"/>
    </row>
    <row r="22" spans="1:19" x14ac:dyDescent="0.25">
      <c r="A22" s="18" t="s">
        <v>10</v>
      </c>
      <c r="B22" s="19" t="s">
        <v>11</v>
      </c>
      <c r="C22" s="20" t="s">
        <v>12</v>
      </c>
      <c r="D22" s="21" t="s">
        <v>13</v>
      </c>
      <c r="E22" s="21" t="s">
        <v>14</v>
      </c>
      <c r="F22" s="21" t="s">
        <v>15</v>
      </c>
      <c r="G22" s="22" t="s">
        <v>16</v>
      </c>
      <c r="H22" s="23" t="s">
        <v>17</v>
      </c>
      <c r="I22" s="24" t="s">
        <v>18</v>
      </c>
      <c r="K22" s="584"/>
      <c r="L22" s="585"/>
      <c r="M22" s="584"/>
      <c r="N22" s="586"/>
      <c r="O22" s="586"/>
      <c r="P22" s="586"/>
      <c r="Q22" s="584"/>
      <c r="R22" s="587"/>
      <c r="S22" s="588"/>
    </row>
    <row r="23" spans="1:19" ht="15.75" thickBot="1" x14ac:dyDescent="0.3">
      <c r="A23" s="402"/>
      <c r="B23" s="26"/>
      <c r="C23" s="381"/>
      <c r="D23" s="28" t="s">
        <v>19</v>
      </c>
      <c r="E23" s="28" t="s">
        <v>20</v>
      </c>
      <c r="F23" s="28" t="s">
        <v>21</v>
      </c>
      <c r="G23" s="29" t="s">
        <v>22</v>
      </c>
      <c r="H23" s="30" t="s">
        <v>23</v>
      </c>
      <c r="I23" s="31" t="s">
        <v>24</v>
      </c>
      <c r="K23" s="586"/>
      <c r="L23" s="589"/>
      <c r="M23" s="585"/>
      <c r="N23" s="590"/>
      <c r="O23" s="590"/>
      <c r="P23" s="590"/>
      <c r="Q23" s="585"/>
      <c r="R23" s="588"/>
      <c r="S23" s="588"/>
    </row>
    <row r="24" spans="1:19" x14ac:dyDescent="0.25">
      <c r="A24" s="200" t="s">
        <v>26</v>
      </c>
      <c r="B24" s="433" t="s">
        <v>245</v>
      </c>
      <c r="C24" s="33" t="s">
        <v>125</v>
      </c>
      <c r="D24" s="384">
        <v>11.516</v>
      </c>
      <c r="E24" s="385">
        <v>13.951000000000001</v>
      </c>
      <c r="F24" s="385">
        <v>15.023999999999999</v>
      </c>
      <c r="G24" s="386">
        <f t="shared" ref="G24:G29" si="4">F24*4+E24*9+D24*4</f>
        <v>231.71899999999999</v>
      </c>
      <c r="H24" s="37">
        <v>9</v>
      </c>
      <c r="I24" s="447" t="s">
        <v>65</v>
      </c>
      <c r="K24" s="591"/>
      <c r="L24" s="592"/>
      <c r="M24" s="593"/>
      <c r="N24" s="594"/>
      <c r="O24" s="595"/>
      <c r="P24" s="594"/>
      <c r="Q24" s="450"/>
      <c r="R24" s="596"/>
      <c r="S24" s="597"/>
    </row>
    <row r="25" spans="1:19" x14ac:dyDescent="0.25">
      <c r="A25" s="47" t="s">
        <v>110</v>
      </c>
      <c r="B25" s="448" t="s">
        <v>247</v>
      </c>
      <c r="C25" s="56" t="s">
        <v>337</v>
      </c>
      <c r="D25" s="125">
        <v>3.42</v>
      </c>
      <c r="E25" s="126">
        <v>4.9050000000000002</v>
      </c>
      <c r="F25" s="127">
        <v>19.62</v>
      </c>
      <c r="G25" s="140">
        <f t="shared" si="4"/>
        <v>136.30500000000001</v>
      </c>
      <c r="H25" s="435">
        <v>6</v>
      </c>
      <c r="I25" s="49" t="s">
        <v>136</v>
      </c>
      <c r="K25" s="598"/>
      <c r="L25" s="592"/>
      <c r="M25" s="449"/>
      <c r="N25" s="599"/>
      <c r="O25" s="599"/>
      <c r="P25" s="600"/>
      <c r="Q25" s="450"/>
      <c r="R25" s="601"/>
      <c r="S25" s="597"/>
    </row>
    <row r="26" spans="1:19" ht="15.75" x14ac:dyDescent="0.25">
      <c r="A26" s="50" t="s">
        <v>32</v>
      </c>
      <c r="B26" s="88" t="s">
        <v>137</v>
      </c>
      <c r="C26" s="292"/>
      <c r="D26" s="95">
        <v>2.37</v>
      </c>
      <c r="E26" s="96">
        <v>1.3779999999999999</v>
      </c>
      <c r="F26" s="97">
        <v>22.870999999999999</v>
      </c>
      <c r="G26" s="150">
        <f t="shared" si="4"/>
        <v>113.366</v>
      </c>
      <c r="H26" s="418"/>
      <c r="I26" s="100" t="s">
        <v>69</v>
      </c>
      <c r="K26" s="602"/>
      <c r="L26" s="603"/>
      <c r="M26" s="449"/>
      <c r="N26" s="604"/>
      <c r="O26" s="605"/>
      <c r="P26" s="604"/>
      <c r="Q26" s="450"/>
      <c r="R26" s="606"/>
      <c r="S26" s="597"/>
    </row>
    <row r="27" spans="1:19" x14ac:dyDescent="0.25">
      <c r="A27" s="54" t="s">
        <v>249</v>
      </c>
      <c r="B27" s="578" t="s">
        <v>328</v>
      </c>
      <c r="C27" s="41">
        <v>200</v>
      </c>
      <c r="D27" s="42">
        <v>0.66200000000000003</v>
      </c>
      <c r="E27" s="43">
        <v>0.09</v>
      </c>
      <c r="F27" s="43">
        <v>31.05</v>
      </c>
      <c r="G27" s="44">
        <f t="shared" si="4"/>
        <v>127.658</v>
      </c>
      <c r="H27" s="418">
        <v>26</v>
      </c>
      <c r="I27" s="53" t="s">
        <v>71</v>
      </c>
      <c r="K27" s="598"/>
      <c r="L27" s="592"/>
      <c r="M27" s="591"/>
      <c r="N27" s="600"/>
      <c r="O27" s="600"/>
      <c r="P27" s="607"/>
      <c r="Q27" s="450"/>
      <c r="R27" s="606"/>
      <c r="S27" s="597"/>
    </row>
    <row r="28" spans="1:19" x14ac:dyDescent="0.25">
      <c r="A28" s="77"/>
      <c r="B28" s="90" t="s">
        <v>33</v>
      </c>
      <c r="C28" s="41">
        <v>30</v>
      </c>
      <c r="D28" s="42">
        <v>1.575</v>
      </c>
      <c r="E28" s="43">
        <v>0.21299999999999999</v>
      </c>
      <c r="F28" s="43">
        <v>12.538</v>
      </c>
      <c r="G28" s="44">
        <f t="shared" si="4"/>
        <v>58.369</v>
      </c>
      <c r="H28" s="45">
        <v>22</v>
      </c>
      <c r="I28" s="53" t="s">
        <v>34</v>
      </c>
      <c r="K28" s="608"/>
      <c r="L28" s="592"/>
      <c r="M28" s="449"/>
      <c r="N28" s="600"/>
      <c r="O28" s="600"/>
      <c r="P28" s="600"/>
      <c r="Q28" s="450"/>
      <c r="R28" s="609"/>
      <c r="S28" s="597"/>
    </row>
    <row r="29" spans="1:19" ht="15.75" thickBot="1" x14ac:dyDescent="0.3">
      <c r="A29" s="77"/>
      <c r="B29" s="181" t="s">
        <v>52</v>
      </c>
      <c r="C29" s="41">
        <v>20</v>
      </c>
      <c r="D29" s="42">
        <v>1.1299999999999999</v>
      </c>
      <c r="E29" s="43">
        <v>0.24</v>
      </c>
      <c r="F29" s="43">
        <v>8.3699999999999992</v>
      </c>
      <c r="G29" s="44">
        <f t="shared" si="4"/>
        <v>40.159999999999997</v>
      </c>
      <c r="H29" s="48">
        <v>23</v>
      </c>
      <c r="I29" s="49" t="s">
        <v>34</v>
      </c>
      <c r="K29" s="580"/>
      <c r="L29" s="592"/>
      <c r="M29" s="449"/>
      <c r="N29" s="600"/>
      <c r="O29" s="600"/>
      <c r="P29" s="600"/>
      <c r="Q29" s="450"/>
      <c r="R29" s="606"/>
      <c r="S29" s="597"/>
    </row>
    <row r="30" spans="1:19" ht="15.75" thickBot="1" x14ac:dyDescent="0.3">
      <c r="A30" s="391" t="s">
        <v>39</v>
      </c>
      <c r="B30" s="102"/>
      <c r="C30" s="103"/>
      <c r="D30" s="428">
        <f>SUM(D24:D29)</f>
        <v>20.672999999999998</v>
      </c>
      <c r="E30" s="179">
        <f>SUM(E24:E29)</f>
        <v>20.777000000000001</v>
      </c>
      <c r="F30" s="429">
        <f>SUM(F24:F29)</f>
        <v>109.473</v>
      </c>
      <c r="G30" s="179">
        <f>SUM(G24:G29)</f>
        <v>707.577</v>
      </c>
      <c r="H30" s="395" t="s">
        <v>40</v>
      </c>
      <c r="I30" s="76"/>
      <c r="K30" s="580"/>
      <c r="L30" s="592"/>
      <c r="M30" s="449"/>
      <c r="N30" s="599"/>
      <c r="O30" s="599"/>
      <c r="P30" s="599"/>
      <c r="Q30" s="450"/>
      <c r="R30" s="606"/>
      <c r="S30" s="597"/>
    </row>
    <row r="31" spans="1:19" ht="15.75" thickBot="1" x14ac:dyDescent="0.3">
      <c r="A31" s="396" t="s">
        <v>56</v>
      </c>
      <c r="B31" s="116"/>
      <c r="C31" s="397"/>
      <c r="D31" s="524">
        <v>22.5</v>
      </c>
      <c r="E31" s="525">
        <v>23</v>
      </c>
      <c r="F31" s="525">
        <v>95.75</v>
      </c>
      <c r="G31" s="525">
        <v>680</v>
      </c>
      <c r="H31" s="401" t="s">
        <v>55</v>
      </c>
      <c r="I31" s="83">
        <f>C27+C28+C29+100+20+80+100</f>
        <v>550</v>
      </c>
      <c r="K31" s="610"/>
      <c r="L31" s="611"/>
      <c r="M31" s="612"/>
      <c r="N31" s="613"/>
      <c r="O31" s="614"/>
      <c r="P31" s="613"/>
      <c r="Q31" s="614"/>
      <c r="R31" s="615"/>
      <c r="S31" s="616"/>
    </row>
    <row r="32" spans="1:19" x14ac:dyDescent="0.25">
      <c r="K32" s="617"/>
      <c r="L32" s="618"/>
      <c r="M32" s="580"/>
      <c r="N32" s="619"/>
      <c r="O32" s="619"/>
      <c r="P32" s="620"/>
      <c r="Q32" s="621"/>
      <c r="R32" s="247"/>
      <c r="S32" s="622"/>
    </row>
    <row r="34" spans="1:9" ht="15.75" x14ac:dyDescent="0.25">
      <c r="A34" s="9" t="s">
        <v>340</v>
      </c>
      <c r="B34" s="4"/>
      <c r="E34" s="3"/>
      <c r="F34" s="9" t="s">
        <v>2</v>
      </c>
      <c r="G34" t="s">
        <v>3</v>
      </c>
      <c r="H34" s="10"/>
    </row>
    <row r="35" spans="1:9" ht="15.75" thickBot="1" x14ac:dyDescent="0.3"/>
    <row r="36" spans="1:9" ht="15.75" thickBot="1" x14ac:dyDescent="0.3">
      <c r="A36" s="11" t="s">
        <v>4</v>
      </c>
      <c r="B36" s="12"/>
      <c r="C36" s="13" t="s">
        <v>5</v>
      </c>
      <c r="D36" s="14" t="s">
        <v>6</v>
      </c>
      <c r="E36" s="14"/>
      <c r="F36" s="14"/>
      <c r="G36" s="15" t="s">
        <v>7</v>
      </c>
      <c r="H36" s="16" t="s">
        <v>8</v>
      </c>
      <c r="I36" s="17" t="s">
        <v>9</v>
      </c>
    </row>
    <row r="37" spans="1:9" x14ac:dyDescent="0.25">
      <c r="A37" s="18" t="s">
        <v>10</v>
      </c>
      <c r="B37" s="19" t="s">
        <v>11</v>
      </c>
      <c r="C37" s="20" t="s">
        <v>12</v>
      </c>
      <c r="D37" s="21" t="s">
        <v>13</v>
      </c>
      <c r="E37" s="21" t="s">
        <v>14</v>
      </c>
      <c r="F37" s="21" t="s">
        <v>15</v>
      </c>
      <c r="G37" s="22" t="s">
        <v>16</v>
      </c>
      <c r="H37" s="23" t="s">
        <v>17</v>
      </c>
      <c r="I37" s="24" t="s">
        <v>18</v>
      </c>
    </row>
    <row r="38" spans="1:9" ht="15.75" thickBot="1" x14ac:dyDescent="0.3">
      <c r="A38" s="25"/>
      <c r="B38" s="26"/>
      <c r="C38" s="27"/>
      <c r="D38" s="28" t="s">
        <v>19</v>
      </c>
      <c r="E38" s="28" t="s">
        <v>20</v>
      </c>
      <c r="F38" s="28" t="s">
        <v>21</v>
      </c>
      <c r="G38" s="29" t="s">
        <v>22</v>
      </c>
      <c r="H38" s="30" t="s">
        <v>23</v>
      </c>
      <c r="I38" s="31" t="s">
        <v>24</v>
      </c>
    </row>
    <row r="39" spans="1:9" x14ac:dyDescent="0.25">
      <c r="A39" s="12"/>
      <c r="B39" s="32" t="s">
        <v>25</v>
      </c>
      <c r="C39" s="33"/>
      <c r="D39" s="476"/>
      <c r="E39" s="35"/>
      <c r="F39" s="35"/>
      <c r="G39" s="623"/>
      <c r="H39" s="37"/>
      <c r="I39" s="38"/>
    </row>
    <row r="40" spans="1:9" x14ac:dyDescent="0.25">
      <c r="A40" s="39" t="s">
        <v>26</v>
      </c>
      <c r="B40" s="252" t="s">
        <v>83</v>
      </c>
      <c r="C40" s="258" t="s">
        <v>131</v>
      </c>
      <c r="D40" s="182">
        <v>20.419</v>
      </c>
      <c r="E40" s="58">
        <v>27.294</v>
      </c>
      <c r="F40" s="182">
        <v>45.491</v>
      </c>
      <c r="G40" s="140">
        <f>F40*4+E40*9+D40*4</f>
        <v>509.286</v>
      </c>
      <c r="H40" s="129">
        <v>41</v>
      </c>
      <c r="I40" s="49" t="s">
        <v>84</v>
      </c>
    </row>
    <row r="41" spans="1:9" x14ac:dyDescent="0.25">
      <c r="A41" s="47" t="s">
        <v>110</v>
      </c>
      <c r="B41" s="259" t="s">
        <v>85</v>
      </c>
      <c r="C41" s="624"/>
      <c r="D41" s="144"/>
      <c r="E41" s="145"/>
      <c r="F41" s="144"/>
      <c r="G41" s="146"/>
      <c r="H41" s="184"/>
      <c r="I41" s="185"/>
    </row>
    <row r="42" spans="1:9" ht="15.75" x14ac:dyDescent="0.25">
      <c r="A42" s="50" t="s">
        <v>32</v>
      </c>
      <c r="B42" s="51" t="s">
        <v>30</v>
      </c>
      <c r="C42" s="41">
        <v>200</v>
      </c>
      <c r="D42" s="42">
        <v>3.6</v>
      </c>
      <c r="E42" s="43">
        <v>2.67</v>
      </c>
      <c r="F42" s="43">
        <v>19.600000000000001</v>
      </c>
      <c r="G42" s="44">
        <f>F42*4+E42*9+D42*4</f>
        <v>116.83000000000001</v>
      </c>
      <c r="H42" s="48">
        <v>53</v>
      </c>
      <c r="I42" s="49" t="s">
        <v>31</v>
      </c>
    </row>
    <row r="43" spans="1:9" x14ac:dyDescent="0.25">
      <c r="A43" s="54" t="s">
        <v>132</v>
      </c>
      <c r="B43" s="244" t="s">
        <v>111</v>
      </c>
      <c r="C43" s="89">
        <v>25</v>
      </c>
      <c r="D43" s="42">
        <v>6</v>
      </c>
      <c r="E43" s="43">
        <v>6.5250000000000004</v>
      </c>
      <c r="F43" s="43">
        <v>0</v>
      </c>
      <c r="G43" s="44">
        <f>F43*4+E43*9+D43*4</f>
        <v>82.724999999999994</v>
      </c>
      <c r="H43" s="151">
        <v>44</v>
      </c>
      <c r="I43" s="234" t="s">
        <v>112</v>
      </c>
    </row>
    <row r="44" spans="1:9" x14ac:dyDescent="0.25">
      <c r="A44" s="54"/>
      <c r="B44" s="51" t="s">
        <v>33</v>
      </c>
      <c r="C44" s="41">
        <v>30</v>
      </c>
      <c r="D44" s="42">
        <v>1.53</v>
      </c>
      <c r="E44" s="43">
        <v>0.255</v>
      </c>
      <c r="F44" s="43">
        <v>14.276999999999999</v>
      </c>
      <c r="G44" s="44">
        <f t="shared" ref="G44" si="5">F44*4+E44*9+D44*4</f>
        <v>65.522999999999996</v>
      </c>
      <c r="H44" s="52">
        <v>46</v>
      </c>
      <c r="I44" s="53" t="s">
        <v>34</v>
      </c>
    </row>
    <row r="45" spans="1:9" ht="15.75" thickBot="1" x14ac:dyDescent="0.3">
      <c r="A45" s="77"/>
      <c r="B45" s="625" t="s">
        <v>37</v>
      </c>
      <c r="C45" s="626">
        <v>130</v>
      </c>
      <c r="D45" s="191">
        <v>0.52</v>
      </c>
      <c r="E45" s="192">
        <v>0.52</v>
      </c>
      <c r="F45" s="193">
        <v>12.74</v>
      </c>
      <c r="G45" s="194">
        <f>F45*4+E45*9+D45*4</f>
        <v>57.72</v>
      </c>
      <c r="H45" s="195">
        <v>49</v>
      </c>
      <c r="I45" s="196" t="s">
        <v>38</v>
      </c>
    </row>
    <row r="46" spans="1:9" x14ac:dyDescent="0.25">
      <c r="A46" s="69" t="s">
        <v>39</v>
      </c>
      <c r="C46" s="70"/>
      <c r="D46" s="71">
        <f>SUM(D40:D45)</f>
        <v>32.069000000000003</v>
      </c>
      <c r="E46" s="72">
        <f>SUM(E40:E45)</f>
        <v>37.264000000000003</v>
      </c>
      <c r="F46" s="73">
        <f>SUM(F40:F45)</f>
        <v>92.108000000000004</v>
      </c>
      <c r="G46" s="74">
        <f>SUM(G40:G45)</f>
        <v>832.08400000000006</v>
      </c>
      <c r="H46" s="75" t="s">
        <v>40</v>
      </c>
      <c r="I46" s="76"/>
    </row>
    <row r="47" spans="1:9" ht="15.75" thickBot="1" x14ac:dyDescent="0.3">
      <c r="A47" s="77"/>
      <c r="C47" s="3"/>
      <c r="D47" s="78"/>
      <c r="E47" s="79"/>
      <c r="F47" s="80"/>
      <c r="G47" s="81"/>
      <c r="H47" s="82" t="s">
        <v>41</v>
      </c>
      <c r="I47" s="83">
        <f>C42+C43+C45+160+40</f>
        <v>555</v>
      </c>
    </row>
    <row r="48" spans="1:9" x14ac:dyDescent="0.25">
      <c r="A48" s="77"/>
      <c r="B48" s="32" t="s">
        <v>42</v>
      </c>
      <c r="C48" s="12"/>
      <c r="D48" s="84"/>
      <c r="E48" s="85"/>
      <c r="F48" s="85"/>
      <c r="G48" s="86"/>
      <c r="H48" s="87"/>
      <c r="I48" s="87"/>
    </row>
    <row r="49" spans="1:9" x14ac:dyDescent="0.25">
      <c r="A49" s="77"/>
      <c r="B49" s="169" t="s">
        <v>133</v>
      </c>
      <c r="C49" s="288">
        <v>250</v>
      </c>
      <c r="D49" s="269">
        <v>4.883</v>
      </c>
      <c r="E49" s="270">
        <v>6.2130000000000001</v>
      </c>
      <c r="F49" s="269">
        <v>9.2650000000000006</v>
      </c>
      <c r="G49" s="44">
        <f t="shared" ref="G49:G55" si="6">F49*4+E49*9+D49*4</f>
        <v>112.509</v>
      </c>
      <c r="H49" s="45">
        <v>15</v>
      </c>
      <c r="I49" s="53" t="s">
        <v>134</v>
      </c>
    </row>
    <row r="50" spans="1:9" x14ac:dyDescent="0.25">
      <c r="A50" s="77"/>
      <c r="B50" s="169" t="s">
        <v>64</v>
      </c>
      <c r="C50" s="171" t="s">
        <v>338</v>
      </c>
      <c r="D50" s="42">
        <v>10.2425</v>
      </c>
      <c r="E50" s="43">
        <v>8.3529999999999998</v>
      </c>
      <c r="F50" s="43">
        <v>10.981999999999999</v>
      </c>
      <c r="G50" s="44">
        <f t="shared" si="6"/>
        <v>160.07499999999999</v>
      </c>
      <c r="H50" s="45">
        <v>29</v>
      </c>
      <c r="I50" s="53" t="s">
        <v>65</v>
      </c>
    </row>
    <row r="51" spans="1:9" x14ac:dyDescent="0.25">
      <c r="A51" s="77"/>
      <c r="B51" s="252" t="s">
        <v>135</v>
      </c>
      <c r="C51" s="258" t="s">
        <v>339</v>
      </c>
      <c r="D51" s="271">
        <v>3.327</v>
      </c>
      <c r="E51" s="272">
        <v>5.4109999999999996</v>
      </c>
      <c r="F51" s="273">
        <v>29.92</v>
      </c>
      <c r="G51" s="221">
        <f t="shared" si="6"/>
        <v>181.68700000000001</v>
      </c>
      <c r="H51" s="48">
        <v>33</v>
      </c>
      <c r="I51" s="49" t="s">
        <v>136</v>
      </c>
    </row>
    <row r="52" spans="1:9" x14ac:dyDescent="0.25">
      <c r="A52" s="77"/>
      <c r="B52" s="259" t="s">
        <v>137</v>
      </c>
      <c r="C52" s="274"/>
      <c r="D52" s="275">
        <v>1.8959999999999999</v>
      </c>
      <c r="E52" s="276">
        <v>1.1100000000000001</v>
      </c>
      <c r="F52" s="277">
        <v>18.297000000000001</v>
      </c>
      <c r="G52" s="278">
        <f t="shared" si="6"/>
        <v>90.762</v>
      </c>
      <c r="H52" s="99"/>
      <c r="I52" s="100" t="s">
        <v>69</v>
      </c>
    </row>
    <row r="53" spans="1:9" x14ac:dyDescent="0.25">
      <c r="A53" s="77"/>
      <c r="B53" s="259" t="s">
        <v>70</v>
      </c>
      <c r="C53" s="279">
        <v>200</v>
      </c>
      <c r="D53" s="42">
        <v>0.66200000000000003</v>
      </c>
      <c r="E53" s="43">
        <v>0.09</v>
      </c>
      <c r="F53" s="43">
        <v>29.393999999999998</v>
      </c>
      <c r="G53" s="44">
        <f t="shared" si="6"/>
        <v>121.03399999999999</v>
      </c>
      <c r="H53" s="280">
        <v>51</v>
      </c>
      <c r="I53" s="53" t="s">
        <v>71</v>
      </c>
    </row>
    <row r="54" spans="1:9" x14ac:dyDescent="0.25">
      <c r="A54" s="77"/>
      <c r="B54" s="169" t="s">
        <v>33</v>
      </c>
      <c r="C54" s="41">
        <v>60</v>
      </c>
      <c r="D54" s="42">
        <v>3.06</v>
      </c>
      <c r="E54" s="43">
        <v>0.51</v>
      </c>
      <c r="F54" s="43">
        <v>28.553999999999998</v>
      </c>
      <c r="G54" s="44">
        <f t="shared" si="6"/>
        <v>131.04599999999999</v>
      </c>
      <c r="H54" s="52">
        <v>46</v>
      </c>
      <c r="I54" s="53" t="s">
        <v>34</v>
      </c>
    </row>
    <row r="55" spans="1:9" ht="15.75" thickBot="1" x14ac:dyDescent="0.3">
      <c r="A55" s="161"/>
      <c r="B55" s="61" t="s">
        <v>52</v>
      </c>
      <c r="C55" s="295">
        <v>40</v>
      </c>
      <c r="D55" s="57">
        <v>2.2599999999999998</v>
      </c>
      <c r="E55" s="58">
        <v>0.48</v>
      </c>
      <c r="F55" s="58">
        <v>16.739999999999998</v>
      </c>
      <c r="G55" s="59">
        <f t="shared" si="6"/>
        <v>80.319999999999993</v>
      </c>
      <c r="H55" s="282">
        <v>47</v>
      </c>
      <c r="I55" s="53" t="s">
        <v>34</v>
      </c>
    </row>
    <row r="56" spans="1:9" ht="15.75" thickBot="1" x14ac:dyDescent="0.3">
      <c r="A56" s="101" t="s">
        <v>53</v>
      </c>
      <c r="B56" s="102"/>
      <c r="C56" s="103"/>
      <c r="D56" s="627">
        <f>SUM(D49:D55)</f>
        <v>26.330500000000001</v>
      </c>
      <c r="E56" s="628">
        <f>SUM(E49:E55)</f>
        <v>22.166999999999998</v>
      </c>
      <c r="F56" s="628">
        <f>SUM(F49:F55)</f>
        <v>143.15200000000002</v>
      </c>
      <c r="G56" s="629">
        <f>SUM(G49:G55)</f>
        <v>877.43299999999999</v>
      </c>
      <c r="H56" s="107" t="s">
        <v>40</v>
      </c>
      <c r="I56" s="76"/>
    </row>
    <row r="57" spans="1:9" ht="15.75" thickBot="1" x14ac:dyDescent="0.3">
      <c r="A57" s="108"/>
      <c r="B57" s="102" t="s">
        <v>54</v>
      </c>
      <c r="C57" s="109"/>
      <c r="D57" s="178">
        <f>D46+D56</f>
        <v>58.399500000000003</v>
      </c>
      <c r="E57" s="179">
        <f t="shared" ref="E57" si="7">E46+E56</f>
        <v>59.430999999999997</v>
      </c>
      <c r="F57" s="179">
        <f>F46+F56</f>
        <v>235.26000000000002</v>
      </c>
      <c r="G57" s="180">
        <f>G46+G56</f>
        <v>1709.5170000000001</v>
      </c>
      <c r="H57" s="113" t="s">
        <v>55</v>
      </c>
      <c r="I57" s="114">
        <f>C49+C53+C54+C55+105+15+100+80</f>
        <v>850</v>
      </c>
    </row>
    <row r="58" spans="1:9" ht="15.75" thickBot="1" x14ac:dyDescent="0.3">
      <c r="A58" s="115"/>
      <c r="B58" s="116" t="s">
        <v>56</v>
      </c>
      <c r="C58" s="117"/>
      <c r="D58" s="118">
        <v>45</v>
      </c>
      <c r="E58" s="119">
        <v>46</v>
      </c>
      <c r="F58" s="120">
        <v>191.5</v>
      </c>
      <c r="G58" s="121">
        <v>1360</v>
      </c>
      <c r="H58" s="82" t="s">
        <v>57</v>
      </c>
      <c r="I58" s="1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Лист3</vt:lpstr>
      <vt:lpstr>Лист1</vt:lpstr>
      <vt:lpstr>Лист2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2022-03-28T06:30:57Z</dcterms:modified>
</cp:coreProperties>
</file>